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9615" windowHeight="10725" tabRatio="910" activeTab="15"/>
  </bookViews>
  <sheets>
    <sheet name="Naslovna strana" sheetId="1" r:id="rId1"/>
    <sheet name="napomena" sheetId="2" r:id="rId2"/>
    <sheet name="zidarski" sheetId="3" r:id="rId3"/>
    <sheet name="montažne pregrade" sheetId="4" r:id="rId4"/>
    <sheet name="pokrivacki" sheetId="5" r:id="rId5"/>
    <sheet name="izolaterski radovi" sheetId="6" r:id="rId6"/>
    <sheet name="limarski radovi" sheetId="7" r:id="rId7"/>
    <sheet name="stolarski radovi" sheetId="8" r:id="rId8"/>
    <sheet name="bravarski radovi" sheetId="9" r:id="rId9"/>
    <sheet name="keramičarski" sheetId="10" r:id="rId10"/>
    <sheet name="fasaderski radovi" sheetId="11" r:id="rId11"/>
    <sheet name="molersko" sheetId="12" r:id="rId12"/>
    <sheet name="podopolagacki radovi" sheetId="13" r:id="rId13"/>
    <sheet name="spusteni plafoni" sheetId="14" r:id="rId14"/>
    <sheet name="razni" sheetId="15" r:id="rId15"/>
    <sheet name="Rekapitulacija" sheetId="16" r:id="rId16"/>
  </sheets>
  <definedNames>
    <definedName name="_xlnm.Print_Area" localSheetId="8">'bravarski radovi'!$A$1:$F$631</definedName>
    <definedName name="_xlnm.Print_Area" localSheetId="10">'fasaderski radovi'!$A$1:$F$212</definedName>
    <definedName name="_xlnm.Print_Area" localSheetId="5">'izolaterski radovi'!$A$1:$F$300</definedName>
    <definedName name="_xlnm.Print_Area" localSheetId="9">'keramičarski'!$A$1:$F$189</definedName>
    <definedName name="_xlnm.Print_Area" localSheetId="6">'limarski radovi'!$A$1:$F$33</definedName>
    <definedName name="_xlnm.Print_Area" localSheetId="11">'molersko'!$A$1:$F$127</definedName>
    <definedName name="_xlnm.Print_Area" localSheetId="3">'montažne pregrade'!$A$1:$F$207</definedName>
    <definedName name="_xlnm.Print_Area" localSheetId="1">'napomena'!$A$1:$F$43</definedName>
    <definedName name="_xlnm.Print_Area" localSheetId="0">'Naslovna strana'!$A$1:$F$33</definedName>
    <definedName name="_xlnm.Print_Area" localSheetId="12">'podopolagacki radovi'!$A$1:$F$139</definedName>
    <definedName name="_xlnm.Print_Area" localSheetId="4">'pokrivacki'!$A$1:$F$205</definedName>
    <definedName name="_xlnm.Print_Area" localSheetId="14">'razni'!$A$1:$F$36</definedName>
    <definedName name="_xlnm.Print_Area" localSheetId="15">'Rekapitulacija'!$A$1:$E$37</definedName>
    <definedName name="_xlnm.Print_Area" localSheetId="13">'spusteni plafoni'!$A$1:$F$169</definedName>
    <definedName name="_xlnm.Print_Area" localSheetId="7">'stolarski radovi'!$A$1:$F$38</definedName>
    <definedName name="_xlnm.Print_Area" localSheetId="2">'zidarski'!$A$1:$F$338</definedName>
    <definedName name="_xlnm.Print_Titles" localSheetId="8">'bravarski radovi'!$1:$2</definedName>
    <definedName name="_xlnm.Print_Titles" localSheetId="10">'fasaderski radovi'!$1:$2</definedName>
    <definedName name="_xlnm.Print_Titles" localSheetId="5">'izolaterski radovi'!$1:$2</definedName>
    <definedName name="_xlnm.Print_Titles" localSheetId="9">'keramičarski'!$1:$2</definedName>
    <definedName name="_xlnm.Print_Titles" localSheetId="6">'limarski radovi'!$1:$2</definedName>
    <definedName name="_xlnm.Print_Titles" localSheetId="11">'molersko'!$1:$2</definedName>
    <definedName name="_xlnm.Print_Titles" localSheetId="3">'montažne pregrade'!$1:$2</definedName>
    <definedName name="_xlnm.Print_Titles" localSheetId="1">'napomena'!$1:$2</definedName>
    <definedName name="_xlnm.Print_Titles" localSheetId="0">'Naslovna strana'!$1:$2</definedName>
    <definedName name="_xlnm.Print_Titles" localSheetId="12">'podopolagacki radovi'!$1:$2</definedName>
    <definedName name="_xlnm.Print_Titles" localSheetId="4">'pokrivacki'!$1:$2</definedName>
    <definedName name="_xlnm.Print_Titles" localSheetId="14">'razni'!$1:$2</definedName>
    <definedName name="_xlnm.Print_Titles" localSheetId="15">'Rekapitulacija'!$1:$3</definedName>
    <definedName name="_xlnm.Print_Titles" localSheetId="13">'spusteni plafoni'!$1:$2</definedName>
    <definedName name="_xlnm.Print_Titles" localSheetId="7">'stolarski radovi'!$1:$2</definedName>
    <definedName name="_xlnm.Print_Titles" localSheetId="2">'zidarski'!$1:$2</definedName>
  </definedNames>
  <calcPr fullCalcOnLoad="1"/>
</workbook>
</file>

<file path=xl/sharedStrings.xml><?xml version="1.0" encoding="utf-8"?>
<sst xmlns="http://schemas.openxmlformats.org/spreadsheetml/2006/main" count="3493" uniqueCount="1492">
  <si>
    <t>I</t>
  </si>
  <si>
    <t>II</t>
  </si>
  <si>
    <t>III</t>
  </si>
  <si>
    <t>IV</t>
  </si>
  <si>
    <t>V</t>
  </si>
  <si>
    <t>VI</t>
  </si>
  <si>
    <t>redni broj</t>
  </si>
  <si>
    <t>opis pozicije</t>
  </si>
  <si>
    <t>jedinica mere</t>
  </si>
  <si>
    <t>količina</t>
  </si>
  <si>
    <t>REKAPITULACIJA</t>
  </si>
  <si>
    <r>
      <t>m</t>
    </r>
    <r>
      <rPr>
        <sz val="10"/>
        <rFont val="Calibri"/>
        <family val="2"/>
      </rPr>
      <t>²</t>
    </r>
  </si>
  <si>
    <r>
      <t>m</t>
    </r>
    <r>
      <rPr>
        <sz val="10"/>
        <rFont val="Calibri"/>
        <family val="2"/>
      </rPr>
      <t>³</t>
    </r>
  </si>
  <si>
    <t>m'</t>
  </si>
  <si>
    <t>ZIDARSKI RADOVI</t>
  </si>
  <si>
    <t>PREDMER I PREDRAČUN</t>
  </si>
  <si>
    <t>Dimenzija serklaža 20/20cm, C25/30. Armirati sa 4ø14mm, uzengije 6/20 u potrebnoj oplati. Pri vrhu zidove povezati sa AB konstrukcijom. Obračun po m2 sa serklažima i oplatom.</t>
  </si>
  <si>
    <t>U cenu ukalkulisati i serklaže (armatura, beton, oplata) i zidarsku skelu. Obračun po m3, gotovog zida prema opisu.</t>
  </si>
  <si>
    <r>
      <t>m</t>
    </r>
    <r>
      <rPr>
        <sz val="9"/>
        <rFont val="Calibri"/>
        <family val="2"/>
      </rPr>
      <t>³</t>
    </r>
  </si>
  <si>
    <t>a)</t>
  </si>
  <si>
    <t>2 sprat</t>
  </si>
  <si>
    <r>
      <t>Nabavka materijala i zidanje</t>
    </r>
    <r>
      <rPr>
        <i/>
        <sz val="10"/>
        <rFont val="Arial"/>
        <family val="2"/>
      </rPr>
      <t xml:space="preserve"> fasadnih zidova</t>
    </r>
    <r>
      <rPr>
        <sz val="10"/>
        <rFont val="Arial"/>
        <family val="2"/>
      </rPr>
      <t xml:space="preserve"> giter blokovima, debljine d=20cm u produžnom malteru razmere. 1:3:9. Pre ugradnje blokove kvasiti vodom. Raditi u svemu prema važećim propisima i standardu SRPS. Potrebe horizontalne i vertikalne armirano-betonske serklaže raditi od armiranog  betona C25/30, u potrebnoj oplati. Vezu zida za arm. betonske zidove ili stubove izvesti u svemu prema prema opšte tehničkim uslovima. Po završenom zidanju spojnice očistiti do dubine 2cm  radi boljeg prijanjanja maltera.</t>
    </r>
  </si>
  <si>
    <r>
      <t xml:space="preserve">Nabavka materijala i zidanje </t>
    </r>
    <r>
      <rPr>
        <i/>
        <sz val="10"/>
        <rFont val="Arial"/>
        <family val="2"/>
      </rPr>
      <t>unutrašnjih zidova</t>
    </r>
    <r>
      <rPr>
        <sz val="10"/>
        <rFont val="Arial"/>
        <family val="2"/>
      </rPr>
      <t xml:space="preserve"> giter blokovima, debljine d=20cm u produžnom malteru razmere. 1:3:9. Pre ugradnje blokove kvasiti vodom. Raditi u svemu prema važećim propisima i standardu SRPS. Potrebe horizontalne i vertikalne armirano-betonske serklaže raditi od armiranog  betona C25/30, u potrebnoj oplati. Vezu zida za arm. betonske zidove ili stubove izvesti u svemu prema prema opšte tehničkim uslovima. Po završenom zidanju spojnice očistiti do dubine 2cm  radi boljeg prijanjanja maltera.</t>
    </r>
  </si>
  <si>
    <t>OPŠTI OPIS ZA ARMIRANO BETONSKE SERKLAŽE I NADVRATNIKE U ZIDANIM ZIDOVIMA.
 - Vertikalne serklaže raditi na max razmaku 4,00m1, i uz sve otvore, celom visinom zida, u glatkoj oplati, C25/30, dispozicija prema projektu.
 - Horizontalne serklaže raditi u visini nadvratnika celom dužinom zida i na završetku zida, kao završni red, u glatkoj oplati, C25/30, dispozicija prema projektu.</t>
  </si>
  <si>
    <t>Perdašiti uz kvašenje. Omalterisane površine moraju biti ravne, bez preloma i talasa, a ivice oštre i prave. Malter kvasiti da ne dođe do brzog sušenja i ''pregorevanja''. U cenu ulazi radna skela. Obračun po m2.</t>
  </si>
  <si>
    <t>FASADERSKI RADOVI</t>
  </si>
  <si>
    <t>Nabavka, transport  i malterisanje unutrašnjih zidova preko termoizolacije rabic i armaturne mreže. Malterisati produžnim malterom R1:3:9 u dva sloja, d=3cm. Rabic mreža se veže za noseću mrežu punktovanu ili izrađenu od armature ᴓ5mm sa okcima15-15cm u oba pravca. Armatura  je  vezana  za konstrukciju nerđajućim ankerima. Rabic mreža se prethodno prska cementnim mlekom, zatim malteriše cementnim malterom R 1:3 spravljenim sa upotrebom sejanog šljunka N°1, i finalno malteriše produžnim malterom  R.1:2:6. Cenom obuhvatiti: postavljanje armaturne i rabic mreže, malterisanje i potrebnu radnu skelu. Termoizolacija je obračunata u izolaterskim radovima.  Obračun po  m2 komplet.</t>
  </si>
  <si>
    <t>MONTAŽNE PREGRADE</t>
  </si>
  <si>
    <t>Napomena:   Zbog sprečavanja prenosa zvuka ispod obodnih CW i UW profila naneti zaptivni kit .</t>
  </si>
  <si>
    <t xml:space="preserve">Ispuna spojeva: Sve ivice koje nisu fabricki obradjene dodatno zastititi impregniranim praskastim materijalom za rucnu obradu spojeva sa upotrebom papirne bandaž trake. </t>
  </si>
  <si>
    <t xml:space="preserve">Obračun po m2, komplet prema opisu i napomenama. </t>
  </si>
  <si>
    <t>U cenu ukalkulisati sav potreban materijal sa podkonstrukcijom, potrebna ojačanja za izradu otvora, potrebna ojačanja za kačenje potrebnih elemenata predviđenih projektom, izradu otvora i revizionih otvora, bandažiranje i gletovanje spojeva i izradu radne skele. Za stabilnost pozicije odgovara izvođač.</t>
  </si>
  <si>
    <t>POKRIVAČKI RADOVI</t>
  </si>
  <si>
    <t>IZOLATERSKI RADOVI</t>
  </si>
  <si>
    <t>Obračun po m2, komplet prema opisu.</t>
  </si>
  <si>
    <t>oznaka u projektu UZ5b</t>
  </si>
  <si>
    <t>oznaka u projektu UZ7</t>
  </si>
  <si>
    <t>oznaka u projektu UZ7a</t>
  </si>
  <si>
    <t>PODOPOLAGAČKI RADOVI</t>
  </si>
  <si>
    <t>1)</t>
  </si>
  <si>
    <t>2)</t>
  </si>
  <si>
    <t>3)</t>
  </si>
  <si>
    <t>4)</t>
  </si>
  <si>
    <t>5)</t>
  </si>
  <si>
    <t>7)</t>
  </si>
  <si>
    <t>6)</t>
  </si>
  <si>
    <t>oznaka u projektu UZ5c F120'</t>
  </si>
  <si>
    <t>Malterisanje unutrašnjih zidova od giter bloka, armirano betonskih zidova i stubova.  Malterisati produžnim malterom R.1:3:9 u dva sloja, d=2cm. Pre malterisanja površine očistiti i isprskati  cementnim mlekom. Prvi sloj grunt, raditi produžnim malterom  od prosejanog šljunka ''jedinice''. Malter stalno mešati da se krečno mleko ne izdvoji. Malter naneti preko pokvašene podloge i narezati radi prihvatanja drugog sloja. Drugi sloj spraviti sa sitnim i čistim peskom, bez primesa mulja i organskih materija.</t>
  </si>
  <si>
    <t>8)</t>
  </si>
  <si>
    <t>9)</t>
  </si>
  <si>
    <t>10)</t>
  </si>
  <si>
    <t>11)</t>
  </si>
  <si>
    <t>1. sprat =6,02</t>
  </si>
  <si>
    <t>12)</t>
  </si>
  <si>
    <t>d=3,0cm - podloga za parket - oznaka MK 7</t>
  </si>
  <si>
    <t>- podloga za laminat - oznaka MK 8</t>
  </si>
  <si>
    <t>d=4,0cm
- podloga za granitnu keramiku- oznaka MK 2</t>
  </si>
  <si>
    <t>sokla h=10cm na lepku</t>
  </si>
  <si>
    <t>oznaka PT 3</t>
  </si>
  <si>
    <t>Nabavka materijala i polaganje poda tipa kao vinil-homogeni ili ekvivalentno. Vinil pod trake, homogene podne obloge na bazi PVC. Trake su širine 200cm i debljine 2mm. Izvedena podloga mora biti čvrsta, fino perdašena i suva. Podlogu očistiti od prašine, naneti masu za izravnanje i fmo je obrusiti.</t>
  </si>
  <si>
    <t xml:space="preserve">Vinil trake pre ugradnje razviti, položiti i ostaviti 24 časa na sobnu temperaturu iznad 15 stepeni. Trake zalepiti celom površinom za podlogu lepkom. Postavljanje raditi ukrajanjem, postupkom duplog sečenja. Spojnice zavariti toplim vazduhom, pomoću mekih PVC elektroda. </t>
  </si>
  <si>
    <t xml:space="preserve">Nabavka i postavljanje poda od vinil antistatik traka, homogene podne obloge na bazi PVC. Trake su širine 200 cm i debljine 2,0mm. Izvedena podloga mora biti čvrsta, fino perdašena i suva. Podlogu očistiti od prašine, naneti masu za izravnanje i fino je obrusiti. Na pripremljenu podlogu položiti bakarne trake širine 15-20 mm i debljine 0,20 mm unakrsno u rasteru 50x50 cm i povezati obodnom trakom (ispod lajsne), koja se povezuje sa uzemljenjem. </t>
  </si>
  <si>
    <t>oznaka MK 2 i E3</t>
  </si>
  <si>
    <t>oznaka MK 7</t>
  </si>
  <si>
    <t>Nabavka materijala i postavljanje termoizolacije  u podu, ploče ekstrudiranog polistirena d=10cm 35kg/m3.</t>
  </si>
  <si>
    <t>oznaka MK 5</t>
  </si>
  <si>
    <t>SPUŠTENI PLAFONI</t>
  </si>
  <si>
    <t>U cenu ukalkulisati  radnu skelu, čeličnu podkonstrukciju, dodatna ojačanja za otvore; ojačanja  za slobodan kraj plafona AL lajsnama; ojačanja za nošenje raznih plafonskih elemenata tipa svetiljki, projekcionog platna i ostalih sličnih elemenata; izradu revizionih (standardnih i protivpožarnih) plafonskih otvora sa prekrivnim zatvatačkim sistemom, eloksirano, s ugrađenom oblogom; prosecanja za otvore instalacija, osvetljenja, enterijerskih plafonskih procepa, formiranje raznih denivelacija, kaskada, niša i ostalih enterijerskih i elemenata potrebnih za montažu osvetljenja i sl. kao  i bandažiranje i gletovanje spojeva i dr. što se neće posebno plaćati.</t>
  </si>
  <si>
    <t>U cenu ukalkulisati nanošenje temeljnog (disperzivnog) premaza - podloge za ujednačavanje upijanja podloge gipsanih ploča, učvršćivanje i skupljanje građevinske prašine sa podloge pre bojenja.</t>
  </si>
  <si>
    <t>Obračun po m2, sve kompletno sa potrebnom radnom skelom.</t>
  </si>
  <si>
    <t>prizemlje - komunikacije (visina od gotovog poda h=3,5m; visina spuštanja h=1,2m)</t>
  </si>
  <si>
    <t>1 sprat - komunikacije (visina od gotovog poda h=2,8m; visina spuštanja h=0,95m)</t>
  </si>
  <si>
    <t>2 sprat - komunikacije (visina od gotovog poda h=2,8m; visina spuštanja h=0,95m)</t>
  </si>
  <si>
    <t>prizemlje (visina od gotovog poda h=3,5m i h=3,0m; visina spuštanja h=1,2m i h=1,7m)</t>
  </si>
  <si>
    <t>1 sprat (visina od gotovog poda h=3,0m; visina spuštanja h=0,75m)</t>
  </si>
  <si>
    <t>2 sprat (visina od gotovog poda h=2,8m; visina spuštanja h=0,95m)</t>
  </si>
  <si>
    <t>b)</t>
  </si>
  <si>
    <t>prizemlje (visina od gotovog poda h=3,5m; visina spuštanja h=1,2m)</t>
  </si>
  <si>
    <t>2 sprat ( visina od gotovog poda h=2,8m; visina spuštanja h=3,02m). U cenu uračunati potrebnu dodatnu podkonstrukciju</t>
  </si>
  <si>
    <t>2 sprat ( visina od gotovog poda h=3,5m; visina spuštanja h=2,32m). U cenu uračunati potrebnu dodatnu podkonstrukciju</t>
  </si>
  <si>
    <t>Nabavka materijala i izrada spuštenog plafona u sanitarnim čvorovima i čajnim kuhinjama, od  traka  aluminijumskog plastificiranog lima. Raditi prema projektu i tehničkom uputstvu proizvođača materijala.</t>
  </si>
  <si>
    <t>Trake od plastificiranog profilisanog lima širine 10cm, raditi na potrebnoj čeličnoj pocinkovanoj podkonstrukciji.</t>
  </si>
  <si>
    <t>Spoj spustenog plafona sa zidom izvesti skrivenim tipskim profilima.</t>
  </si>
  <si>
    <t>Jediničnom cenom, takođe, obuhvatiti formiranje svih otvora za rasvetu, ventilaciju i sl.</t>
  </si>
  <si>
    <t>Obračun po m1, sve kompletno sa potrebnom radnom skelom.</t>
  </si>
  <si>
    <t>MOLERSKO- FARBARSKI RADOVI</t>
  </si>
  <si>
    <t>Napomena: U cenu molersko farbarskih radova ukalkulisati potrebnu radnu skelu.</t>
  </si>
  <si>
    <t>Obračun po m2 sa gletovanjem.</t>
  </si>
  <si>
    <t>Bojenje zidova disperzivnom perivom bojom otpornom na habanje sa gletovanjem. Unutrašnja periva boja za jako opterećene površine; visoko paropropusna; otporna na habanje i mehanička oštećenja; otporna na mokro trljanje; 10 puta veća perivost nego kod uobičajene unutrašnje boje. Bojiti do postizanja ravnomernog i čistog tona. Malterisane zidove, betonske i gips površine prethodno izravnati gletovanjem. U cenu ukalkulisati bojenje u više boja a prema projektu.</t>
  </si>
  <si>
    <t>Oznaka u projektu UZ3 i UZ4</t>
  </si>
  <si>
    <t xml:space="preserve">Obračun po  m2 komplet. </t>
  </si>
  <si>
    <t>Nabavka materijala i izrada zidne obloge učvršene za zid.  Zidna obloga s čeličnom potkonstrukcijom od pocinkovanih CD i UD profila 30mm, učvršćeni direktnim ili akustičnim držačem. Osni razmak profila 42,5cm. Jednostruka obloga od gipskartonskih ploča debljine d=12,50mm. Ukupna debljina obloge d=42,50mm</t>
  </si>
  <si>
    <t>Ispuna od mineralne kamene vune debljine 30mm (40kg/m3) zajedno sa aluminijumskom folijom, obračunata u izolaterskim radovima. Obrada spojeva GK ploča u kvalitetu Q2.</t>
  </si>
  <si>
    <t>13)</t>
  </si>
  <si>
    <t>14)</t>
  </si>
  <si>
    <t>oznaka MK 1 i E4</t>
  </si>
  <si>
    <t>Keramika se direktno lepi preko hidroizolacije. Postojeću podlogu očistiti, odstraniti sve nevezane delove, ako je potrebno iskrpiti oštećenja, nakvasiti da podloga bude vlažna bez barica na površini.</t>
  </si>
  <si>
    <t>Na kompletnu površinu naneti sloj gletericom visoko elastičnog cementno-polimernog maltera (prionjivosti 1,1N/mm, rastezljivosti 18 po DIN 53504 sa premošćavanjem pukotina širine do 1,2mm) u koji se utiskuje mrežica od staklenih vlakana. Drugi sloj naneti nakon 5 sati ili sutradan. Izolaciju postaviti u svemu prema projektu, detaljima i uputstvima proizvođača.</t>
  </si>
  <si>
    <t>Hidroizolaciju izvesti u svemu prema Tehničkom opisu, važećim propisima, tehničkim uslovima, detaljima i uputstvu proizvođača.</t>
  </si>
  <si>
    <t>Obračun po m2 horizontalne projekcije.</t>
  </si>
  <si>
    <t>Sve spojeve zid-pod i zid-zid obraditi elastičnom gumiranom poliesterskom trakom, prodore obraditi gumiranim polistirenskim manžetnama.</t>
  </si>
  <si>
    <t>KERAMIČARSKI RADOVI</t>
  </si>
  <si>
    <t>LIMARSKI RADOVI</t>
  </si>
  <si>
    <t>STOLARSKI RADOVI</t>
  </si>
  <si>
    <t>BRAVARSKI RADOVI</t>
  </si>
  <si>
    <t>podna keramika</t>
  </si>
  <si>
    <t>U cenu uračunati i podlogu na koju se polaže granitna keramika i fugovanje.</t>
  </si>
  <si>
    <t>Obračun po m2 za pod a za soklu po m1, komplet prema opisu.</t>
  </si>
  <si>
    <t>Obračun po m2 komplet prema opisu.</t>
  </si>
  <si>
    <t>U prostorijama gde su spušteni plafoni, zidovi su bojeni 10cm iznad spuštenog plafona.</t>
  </si>
  <si>
    <t>NAPOMENA: Unutrašnji zidovi se malterišu do armirano betonske ploče. Liftovsko okno i kanali za instalacije se ne malterišu!</t>
  </si>
  <si>
    <t xml:space="preserve">Nabavka, transport materijala i izrada plafonskog  dekorativnog elementa - sufita i denivelacije. Element je obešena obloga plafona sa horizontalnim neprekinutim podgledom, sa prekrivenom potkonstrukcijom od pocinkovanih čeličnih profila kao montažni i noseći profili, ovešani nonijus visilicama (pričvrščivanje čeličnim sidrenim ekserom za a.b. tavanicu). Obloga od jednog sloja standardnih gipsanih ploča debljine d=12,5mm. Spoj elementa sa plafonom izvesti sa razdelnom trakom.  </t>
  </si>
  <si>
    <t xml:space="preserve">b) </t>
  </si>
  <si>
    <t>visina od gotovog poda h=2,98-2,8m  h=18cm</t>
  </si>
  <si>
    <t>visina od gotovog poda h=2,98-2,8m, razvijena širina RŠ~60cm</t>
  </si>
  <si>
    <t>Nabavka materijala i zidanje  zidova punom opekom d=12cm u produžnom malteru razmere 1:3:9, sa istovremenom izradom  horizontalnih serlaža 7/15cm i vertikalnih  serklaža 7/15cm, C16/20.  Armirati sa 2ø8mm, uzengije 6/25 u potrebnoj oplati. pri vrhu zidove povezati sa AB konstrukcijom. Prevez raditi na pola opeke, a vezu sa ostalim zidovima na pravilan način. Po završenom zidanju spojnice očistiti.U cenu ukalkulisati i betoniranje armirano betonskih serklaža sa oplatom i armaturom i potrebnu radnu skelu.</t>
  </si>
  <si>
    <t>Za ispravnost, vodonepropusnost   otpornost na atmosferske uticaje, UV zračenja krovova odgovora izvođač i prilaže garanciju na zakonom predviđeni vremenski priod.</t>
  </si>
  <si>
    <t xml:space="preserve"> - Parna brana: bitumenska traka sa ALU folijom d=0,5cm (950kg/m3). Parnu branu postaviti sa preklopom od 5cm a spojevi zaptiveni</t>
  </si>
  <si>
    <t>Zatezna čvrstoća vlakana je 620-758 MPa, a Modul elastićnosti 4,7GPa.
Vlakna treba da su u skladu sa regulativama ASTM C-1116.
Vlakna se mešaju u betonskoj bazi sa suvim komponentama pre dodavanja vode 3-5 minuta, ili se mešaju direktno u mikseru u gotovoj smesi betona, pri maksimalnoj brzini miksera u vremenu od 5-10minuta.</t>
  </si>
  <si>
    <t>Hidroizolaciona membrana treba biti otporna na mikroorganizme, bez prisustva kadmijuma i stabilizatora na bazi olova, debljine 1,5 mm, otporna na izloženost UV zracima prema DIN EN 1297, otpornost na izloženost vatri prema DIN V ENV 13501-1  Broof(t1), inpregnirana sa tkaninom od staklenih vlakana. Optpornost na cepanje spoja prema DIN EN 12316-2 (N/50 mm) ≥300, otpornost na odvajanje spoja prema DIN EN 12317/2 (N/50 mm)≥800, zatezna sila prema DIN EN 12311-2 (N/50 mm)≥1100, izloženost prema eksternoj vatri  DIN V ENV 1187 - Broof(T1), otpornost na udar DIN EN 12691 (metoda A i metoda B) - mm ≥600, otpornost na statičko opterećenje DIN EN 12730 . metoda B ( kg)≥20, otpornost na cepanje ekserom DIN EN 13859-1 (N)≥400.</t>
  </si>
  <si>
    <t xml:space="preserve"> -izravnavajući sloj d=3cm</t>
  </si>
  <si>
    <t xml:space="preserve"> - Horizontalna hidroizolacija. Nabavka materijala i postavljanje hidroizolacije na ravnom krovu. Hidroizolacionu membranu na bazi PVC-a postaviti i mehanički fiksirati za podlogu, sa preklopom od 10cm.  Mehaničko fiksiranje membrane izvesti vijcima i tiplovima, odgovarajuće dužine. Spajanje membrane izvesti varenjem toplim vazduhom.  Hidroizolaciona membrana sive boje, treba da bude proizvedena ekstruzijom, sa zatvorenim ivicama, bez mogućnosti pojave kapilarne vlage i mora biti takvih osobina da se može koristiti za sve ostale radove (uključujući i detalje).</t>
  </si>
  <si>
    <t>U svemu se pridržavati projekta i detalja iz projekta.</t>
  </si>
  <si>
    <t xml:space="preserve"> - Termoizolacija d=8cm – ekstrudirani polistiren - 35kg/m3. Obračun po m², komplet prema opisu. </t>
  </si>
  <si>
    <t xml:space="preserve"> - Geotextila 300gr kao separacionog sloja.</t>
  </si>
  <si>
    <t xml:space="preserve"> - Vertikalna hidroizolacija:
 Pre postaljanja hidroizolacije postaviti sloj Geotextila 300gr kao separacionog sloja. 
H idroizolacija - hidroizolaciona PVC membrana, debljine 1,5mm. Ostali opis hidroizolacione membrane isti kao stavka 03-01.</t>
  </si>
  <si>
    <t>Svi spojevi parapetnog zida i horizontalne površine krova trebaju biti spojeni ogaonim lajsnama od galvanizovanog čelika, debljine 0,6cm, dimenzija 5x5cm,  sa jednom stranom lameliranom od hidroizolacionog materijala spremnog za zavarivanje membrane. Za sve ugaone i ivične lajsne zavariti hidroizolacionu membranu i obezbediti potpuno zaptivanje krova. U cenu pozicije uračunati izradu i obrada oko svih prodora, potrebna preklapanja. U cenu uračunati sva ojačanja i profile za učvršćivanje hidroizolacije  prema tehnologiji i specifikaciji proizvođača.</t>
  </si>
  <si>
    <t xml:space="preserve">U cenu uračunati stazu za šetanje, ostali slojevi krova su obračunati u poziciji 03-01. U svemu se pridržavati projekta i detalja iz projekta. Obračun po m², komplet prema opisu. </t>
  </si>
  <si>
    <t>Nabavka materijala i postavljanje krovne staze    za    hodanje po krovnim membranama potrebnim elementima za montažu na ravnom krovu. Postavlja se varenjem toplim vazduhom     preko     završnog     sloja: hidroizolacione krovne membrane, koja je kao poslednji završni sloj krova. Traka je sa završnom protivkliznom obradom, sa rebrima debljine na najvišoj tački 2,2mm. Širina staze prema projektu i nacrtima. U cenu ukalkulisati i sve ostale vrednosti svih radova i materijala do potpune gotovosti pozicije. Za  kvalitet  izvedenih  radova pozicije uz radove na izradi krovnog pokrivača,  komplet,  odgovara  izvođač radova i dostavlja sertifikat za kvalitet i garanciju za izvedene radove i radove na izradi staze.</t>
  </si>
  <si>
    <t>Hidroizolaciona membrana PVC se povija preko nadzidka a preko OSB ploče. Obračun po m² razvijene površine , komplet prema opisu.</t>
  </si>
  <si>
    <t>U cenu ukalkulisati potrebna preklapanja, obradu oko svih prodora i slivnika.</t>
  </si>
  <si>
    <t>U cenu ukalkulisati sav potreban materijal, rad, kao i potrebnu radnu skelu.</t>
  </si>
  <si>
    <t>Nabavka  i montaža pregradnih montažnih  zidova  od gips kartonskih ploča ploča. Pregradni zid sa jednostrukom metalnom potkonstrukcijom od čeličnih pocinkovanih CW i UW  Zid je nenosiv,  (osni razmak CW profila 62,5cm).</t>
  </si>
  <si>
    <t>- dvoslojne gips kartonske ploče d=2x1,25cm</t>
  </si>
  <si>
    <r>
      <t>Gips kartonske pregrade ukupne debljine d=</t>
    </r>
    <r>
      <rPr>
        <b/>
        <sz val="10"/>
        <rFont val="Arial"/>
        <family val="2"/>
      </rPr>
      <t>12,5cm</t>
    </r>
    <r>
      <rPr>
        <sz val="10"/>
        <rFont val="Arial"/>
        <family val="2"/>
      </rPr>
      <t>,  koje se sastoje od sledećih slojeva:</t>
    </r>
  </si>
  <si>
    <r>
      <t>Gips kartonske pregrade ukupne debljine d=</t>
    </r>
    <r>
      <rPr>
        <b/>
        <sz val="10"/>
        <rFont val="Arial"/>
        <family val="2"/>
      </rPr>
      <t>15cm</t>
    </r>
    <r>
      <rPr>
        <sz val="10"/>
        <rFont val="Arial"/>
        <family val="2"/>
      </rPr>
      <t>,  koje se sastoje od sledećih slojeva:</t>
    </r>
  </si>
  <si>
    <t>- čelična pocinkovana potkonstrukcija d=7,5cm sa ispunom od ploča kamene vune  d=6cm, 40kg/m3</t>
  </si>
  <si>
    <t>- čelična pocinkovana potkonstrukcija d=10cm sa ispunom od ploča kamene vune  d=8cm, 40kg/m3</t>
  </si>
  <si>
    <t>- dvoslojne vlagootporne gips kartonske ploče d=2x1,25cm</t>
  </si>
  <si>
    <t>Protivpožarna pregrada F120' od gips kartonskih ploča, ukupne debljine d=16cm. Pregrada se sastoji od sledećih slojeva:</t>
  </si>
  <si>
    <t>- Vatrootporne dvoslojne gips kartonske ploče d=2x1,25cm</t>
  </si>
  <si>
    <t>Pregrada kao sistem mora da zadovolji traženu vatrootpornost F120'. Standard i metod ispitivanja  SRPS U.J.1.090. Izvođač radova pribavlja atest o traženoj vatrootpornosti.</t>
  </si>
  <si>
    <r>
      <t>Gips kartonske pregrade ukupne debljine d=</t>
    </r>
    <r>
      <rPr>
        <b/>
        <sz val="10"/>
        <rFont val="Arial"/>
        <family val="2"/>
      </rPr>
      <t>10cm</t>
    </r>
    <r>
      <rPr>
        <sz val="10"/>
        <rFont val="Arial"/>
        <family val="2"/>
      </rPr>
      <t>,  koje se sastoje od sledećih slojeva:</t>
    </r>
  </si>
  <si>
    <t>- čelična pocinkovana potkonstrukcija d=7,5cm sa ispunom od ploča kamene vune  d=7cm, 100kg/m3</t>
  </si>
  <si>
    <t>- čelična pocinkovana potkonstrukcija d=5cm sa ispunom od ploča kamene vune  d=5cm, 40kg/m3</t>
  </si>
  <si>
    <r>
      <t>Gips kartonske pregrade za zaštitu od rengenskog zračenja sa pločama kaširanim olovnom folijom. Pregrade ukupne debljine d=</t>
    </r>
    <r>
      <rPr>
        <b/>
        <sz val="10"/>
        <rFont val="Arial"/>
        <family val="2"/>
      </rPr>
      <t>15cm</t>
    </r>
    <r>
      <rPr>
        <sz val="10"/>
        <rFont val="Arial"/>
        <family val="2"/>
      </rPr>
      <t>,  koje se sastoje od sledećih slojeva:</t>
    </r>
  </si>
  <si>
    <t>- dvoslojne gips kartonske ploče, d=2x1,25cm</t>
  </si>
  <si>
    <t>- dvoslojne gips kartonske ploče, kaširane  olovnom folijom d=2x1,25cm</t>
  </si>
  <si>
    <t>Sa unutrašnje strane prostorije sa izvorom zračenja  ploče su kaširane olovnom folijom.</t>
  </si>
  <si>
    <t>Pregrada treba da poseduje atest o traženim uslovima.</t>
  </si>
  <si>
    <t>Zaštita olovnom trakom obraditi i kod svih spojeva: spoj zida i plafona, spoj zida i poda, na uglovima dovratnicima, prekidačima ili drugim otvorima.</t>
  </si>
  <si>
    <t>- čelična pocinkovana potkonstrukcija d=10cm sa ispunom od ploča kamene vune  d=10cm, 40kg/m3</t>
  </si>
  <si>
    <t>- dvoslojne vlagootporne gips kartonske ploče, d=2x1,25cm</t>
  </si>
  <si>
    <t>oznaka u projektu UZ9a</t>
  </si>
  <si>
    <t>Pregrada treba da zadovolji sve potrebne uslove a prema tehnologiji. Atest op potrebnim uslovima pribavlja izvođač radova.</t>
  </si>
  <si>
    <t xml:space="preserve">Zaštita olovnom trakom obraditi i kod svih spojeva: spoj zida i plafona, spoj zida i poda, na uglovima dovratnicima, prekidačima ili drugim otvorima. Na vertikalni profil (podkonstrukcije) ka olovnoj foliji postaviti traku iste debljine kao folija </t>
  </si>
  <si>
    <t>b) Istraživanje</t>
  </si>
  <si>
    <t>Istraživanje</t>
  </si>
  <si>
    <t>Oblaganje zidova toaleta, zidnim keramičkim pločicama, I klase. Visina oblaganja h=2,2m. Polažu se  u sloju lepka.  Fugovati masom za fugovanje kompatibilnom sa lepkom u koji se polažu. Fugovanje sa vodoodbojnom masom otpornom na buđi.  Keramika se lepi za podlogu lepkom predvidjenim za ovu vrstu radova. Lepak mora biti vodootporan i netoksičan. Raditi u svemu prema tehničkom opisu i projektu.</t>
  </si>
  <si>
    <t>d=6,0cm - podloga za granitnu keramiku - oznaka PT3, E3</t>
  </si>
  <si>
    <t>podrum</t>
  </si>
  <si>
    <t>d=3,5cm u padu - podloga za keramičke pločice (toaleti) - oznaka MK3</t>
  </si>
  <si>
    <t>d=3,5cm - podloga za keramičke pločice (mini kuhinja i održavanje) - oznaka MK3</t>
  </si>
  <si>
    <t>d=5,0cm - podloga za parket - oznaka PT8</t>
  </si>
  <si>
    <t>d=5,5cm - podloga za laminat - oznaka PT6</t>
  </si>
  <si>
    <t>15)</t>
  </si>
  <si>
    <t>16)</t>
  </si>
  <si>
    <t>d=5,5cm u padu - keramičke pločice (mokri čvorovi) - oznaka PT2</t>
  </si>
  <si>
    <t>a) Istraživanje</t>
  </si>
  <si>
    <t>oznaka PT2,  4</t>
  </si>
  <si>
    <t>oznaka MK3</t>
  </si>
  <si>
    <t>oznaka MK1, E4</t>
  </si>
  <si>
    <t>Ostali opis isti kao stavka 04-01.</t>
  </si>
  <si>
    <t>Nabavka materijala i izrada vertikalne hidroizolacije   (oko tuša) polimercementnom hidroizolacijom. Hidroizolacija se radi u visini h=1,8m.</t>
  </si>
  <si>
    <t xml:space="preserve"> Istraživanje</t>
  </si>
  <si>
    <t>m²</t>
  </si>
  <si>
    <t>Obračun po m2 sa holkelom, komplet prema opisu.</t>
  </si>
  <si>
    <t>oznaka PT1</t>
  </si>
  <si>
    <t>Pre izrade mikroarmiranog sloja na armirano betonsku ploču treba naneti prajmer (staro-novo').
Betonska mirkoarmirana podloga mora biti  čvrstoće na pritisak (minimum 25N/mm2) sa minimalnom površinskom čvrstoćom na zatezanje od 1,5N/mm2. U svemu raditi prema uputstvu i tehnologiji proizvođača.</t>
  </si>
  <si>
    <t>Izrada podloge za završni sloj poda epoksi pod. Podloga je od mikroarmiranog betona d=6,5cm sa superplastifikatorom na bazi akrilnog polimera  i sa sredstvom sa kontrolisanim skupljanjem - sredstvo za negu betona za smanjemje hidrauličkog skupljanja i stvaranja mikropukotina.</t>
  </si>
  <si>
    <t>Nabavka materijala i izrada epoksi poda (samorazlivne podne ploče). Epoksi pod je protivklizan, vodootporan i otporan na hemikalije.</t>
  </si>
  <si>
    <t>oznaka PT7a</t>
  </si>
  <si>
    <t>U cenu ukalkulisatii i tipske pripadajuće lajsne. Obračun po m2, komplet prema opisu.</t>
  </si>
  <si>
    <t xml:space="preserve"> oznaka MK 4</t>
  </si>
  <si>
    <t>MK1</t>
  </si>
  <si>
    <t>oznaka PT 3, MK2, E2</t>
  </si>
  <si>
    <t>oznaka  MK5 MK6, MK6a, MK3</t>
  </si>
  <si>
    <t>oznaka PT2, PT2a, MK1, MK3</t>
  </si>
  <si>
    <t>oznaka PT7a, MK6a</t>
  </si>
  <si>
    <t>Nabavka materijala i postavljanje termoizolacije na zidove. Termoizolacija kamena vuna d=3cm 40kg/m3. U okviru pozicije postaviti i PE foliju.</t>
  </si>
  <si>
    <t>Oznaka u projektu UZ2</t>
  </si>
  <si>
    <t xml:space="preserve"> a) Istraživanje</t>
  </si>
  <si>
    <t>oznaka u projektu UZ10</t>
  </si>
  <si>
    <t>oznaka u projektu UZ7b</t>
  </si>
  <si>
    <t>c)</t>
  </si>
  <si>
    <t>Istraživanje - kabineti, laboratorije, kancelarije...</t>
  </si>
  <si>
    <t>2. sprat (visina od gotovog poda h=3,0m; visina spuštanja h=0,75m)</t>
  </si>
  <si>
    <t>d)</t>
  </si>
  <si>
    <t>Istraživanje -komunikacije</t>
  </si>
  <si>
    <t>2. sprat (visina od gotovog poda h=2,8m i h=3,0m; visina spuštanja h=0,95m i h=0,75m)</t>
  </si>
  <si>
    <t>1 sprat (visina od gotovog poda h=3,43m; visina spuštanja h=0,32m</t>
  </si>
  <si>
    <r>
      <t xml:space="preserve">Istraživanje </t>
    </r>
    <r>
      <rPr>
        <sz val="10"/>
        <rFont val="Arial"/>
        <family val="2"/>
      </rPr>
      <t>(Spušten plafon u kombinaciji sa spuštenim plafonom od mineralnih ploča 60/60cm. Gips karton je po obodu prostorije sa denivelacijom)</t>
    </r>
  </si>
  <si>
    <t>1. sprat  (visina od gotovog poda h=2,8m i h=3,0m; visina spuštanja h=0,95m i h=0,75m)</t>
  </si>
  <si>
    <t>1. sprat (visina od gotovog poda h=3,0m; visina spuštanja h=0,75m)</t>
  </si>
  <si>
    <t>prizemlje (visina od gotovog poda h=3,5m; visina spuštanja h=1,25m)</t>
  </si>
  <si>
    <t>prizemlje (visina od gotovog poda h=3,0m i h=3,5m; visina spuštanja h=1,75m h=1,25m)</t>
  </si>
  <si>
    <t>Higijensko bojenje (gletovanje i jedna ruka bojenje poludisperzivnom bojom), armirano-betonskih površina (zidova i plafona) liftovskih jama. Raditi po projektu.</t>
  </si>
  <si>
    <t>Bojenje zidova poludisperzivnom bojom sa gletovanjem. Bojiti do postizanja ravnomernog i čistog tona. Malterisane zidove, betonske i gips površine prethodno izravnati gletovanjem. U cenu ukalkulisati bojenje u više boja a prema projektu.</t>
  </si>
  <si>
    <t>Oblaganje dela zidova oko točećih mesta (lavaboa i  sudopera) keramičkim pločicama. Polažu se  u sloju lepka.  Fugovati masom za fugovanje kompatibilnom sa lepkom u koji se polažu. Fugovanje sa vodoodbojnom masom otpornom na buđi.  Keramika se lepi za podlogu lepkom predvidjenim za ovu vrstu radova. Lepak mora biti vodootporan i netoksičan. Raditi u svemu prema tehničkom opisu i projektu.</t>
  </si>
  <si>
    <t xml:space="preserve">Oko točećih mesta visina oblaganja: olo lavaboa h=1,5m, u širini od 1m a oko sudopera u visini h=0,6m (od donjeg elementa) a u širini od 1,5m. </t>
  </si>
  <si>
    <t>Nabavka materijala i postavljanje termoizolacije  na plafonima erkera. Termoizolacija ploče kamene vune, debljine d=20cm, 40kg/m3.</t>
  </si>
  <si>
    <t>a) Stomatologija i istraživanje</t>
  </si>
  <si>
    <t>Nabavka materijala i pokrivanje ravnih prohodnih krovova u sledećim slojevima (RK6):</t>
  </si>
  <si>
    <t>- Termoizolacija d=26cm – ekstrudirani polistiren - 35kg/m3; ravnomerne gustine po celoj debljini ploče, za toplotnu, zvučnu zaštitu. Na parnu branu postaviti ploče ekstrudiranog polistirena tezine 35 kg/m³,  koje se polažu u više slojeva: ploče gornjeg sloja moraju da budu smaknute za polovinu ploče u odnosu na ploče donjeg sloja, i po dužini i po širini. tj. spojevi ploča gornjeg i donjeg sloja ne smeju da se podudaraju.</t>
  </si>
  <si>
    <t>Zatezna čvrstoća vlakana je 620-758 MPa, a Modul elastićnosti 4,7GPa. Vlakna treba da su u skladu sa regulativama ASTM C-1116. Vlakna se mešaju u betonskoj bazi sa suvim komponentama pre dodavanja vode 3-5 minuta, ili se mešaju direktno u mikseru u gotovoj smesi betona, pri maksimalnoj brzini miksera u vremenu od 5-10minuta.</t>
  </si>
  <si>
    <t>Oznaka u projektu RK6</t>
  </si>
  <si>
    <t>d=5cm - završna obrada, fino uglačano - oznaka MK5</t>
  </si>
  <si>
    <t xml:space="preserve"> - Završna obrada: sloj od livenog štampanog betona na ravnom krovu. Debljina betona je d=5cm, a izvodi se po tehnologiji izvođača. Štampani beton  armiran armaturom i fiber vlaknima, sa izradom dilatacionih fuga na dodir.</t>
  </si>
  <si>
    <t>Beton je ojačan sa tri vrste aditiva kojima se sprečava prisustvo vazdušnih jastuka u betonu, pojačava otpornost betona na vrlo niske temperature i na mogućnost pucanja kod ulaska vode u pore betona i plastifikacija betona mikrofiberom koja daje otpornost i žilavost betona na velike pritiske i krunjenje betona.</t>
  </si>
  <si>
    <t>Završna obrada betona je pigmentnim bojama sa dodatkom plastifikatora koji omogućava veliku otpornost na tarenje i habanje završnog sloja i poboljšava njegovu protivkliznost i kod najmanjih vlaga. U svom hemijskom sastavu moraju imati i con-sheild, koji im dvostruko poboljšava kvalitet. Bordure prema nacrtu.</t>
  </si>
  <si>
    <t>Napomena:  Za stabilnost plafona odgovara izvođač!
Radovi moraju biti povereni samo priznatom stručnom izvođaču. Svi radovi moraju biti izvedeni po merama i  crtežima iz projekta. Sve mere izvođač uzima na licu mesta pre početka izvođenja radova.</t>
  </si>
  <si>
    <t>Napomena:  Za stabilnost pregrada odgovara izvođač!
Radovi moraju biti povereni samo priznatom stručnom izvođaču. Svi radovi moraju biti izvedeni po merama i  crtežima iz projekta. Sve mere izvođač uzima na licu mesta pre početka izvođenja radova.</t>
  </si>
  <si>
    <t>U cenu svih pozicija ukalkulisati: bandažiranje i gletovanje spojeva odgovarajućom masom, prosecanje svih projektovanih otvora, sva potrebna ojačanja - ukrućenja uz otvore, nosače vrata, ojačanja za nošenje zidnih elemenata, sanitarnih uređaja, "geberita", i slično. Takođe, u cenu ukalkulisati potrebnu radnu skelu.</t>
  </si>
  <si>
    <t>U cenu ukalkulisati i premazivanje gips kartonskih zidova na koje se lepi keramika i izrađuje vertikalna hidroizolacija.  Površinu očistiti, odstraniti sve nevezane delove i tretirati osnovnim (disperzivnim) premazom - podloga za ujednačavanje upijanja podloge gipsanih ploča, učvršćivanje i skupljanje građevinske prašine sa podloge pre polaganja hidroizolacije i keramičkih pločica.</t>
  </si>
  <si>
    <t xml:space="preserve">Da bi bio zadovoljen uslov da svi zidovi kao sistemi moraju da zadovoljavaju traženu akustiku i protivpožarnost, za dihtovanje raznih otvora potrebno je koristiti odgovarajuću PP i akustičnu masu. </t>
  </si>
  <si>
    <t>Sve pregrade kao sistem moraju da zadovoljavaju traženu akustiku ( na udarni i prostorni zvuk). Ateste pribavlja izvođač radova i ukalkulisano je u cenu pozicije.
Protivpožarne pregrade je potrebno da kao sistem zadovoljavaju traženu vatrootpornost i da poseduje ateste. Ateste pribavlja izvođač radova i ukalkulisano je u cenu pozicije.</t>
  </si>
  <si>
    <r>
      <t xml:space="preserve">oznaka u projektu UZ5 </t>
    </r>
    <r>
      <rPr>
        <sz val="10"/>
        <rFont val="Arial"/>
        <family val="2"/>
      </rPr>
      <t>(Rw min 52dB)</t>
    </r>
  </si>
  <si>
    <t>oznaka u projektu UZ9 (Rw min 52dB)</t>
  </si>
  <si>
    <t>Nabavka materijala i postavljanje zvučne izolacije (od udarnog i prostornog zvuka) u sastavu plivajućih podova, od ploča ekstrudiranog polistirena, debljine d=3cm, gustine 35kg/m3. Postavlja se preko AB ploče. Izolaciju podići uz obodne zidove u visini slojeva poda, što ulazi u cenu pozicije.</t>
  </si>
  <si>
    <t>Nabavka materijala i postavljanje termoizolacije  oko AB greda kod Erkera E4. Termoizolacija ploče kamene vune, debljine d=8cm, 40kg/m3.</t>
  </si>
  <si>
    <t>zvučna izolacija</t>
  </si>
  <si>
    <t>Načinom ugradnje i primenom odgovarajućih materijala podovi moraju da zadovolje traženu akustiku. Izvođač je dužan da dostavi areste o primenjenim materijalima.</t>
  </si>
  <si>
    <t>d=3cm, završna obrada fino uglačano, elektro instalacioni šaht - tunel, detalj D42</t>
  </si>
  <si>
    <t>Napomena: U cenu hidroizolacije ukopanih zidova ukalkulisati i obradu - zatvaranje otvora prodora. Kod prodora instalacione cevi kroz ukopani fasadni zid od armiranog betona d=20 (30)cm. Cev je smeštena u metalnu hilznu. Vezu oko zida i hilzne zapuniti akrilnim kitom (za korišćenje na spoljašnjim ukopanim površinama). Sa spoljne strane otvor se zatvara hidroizolacijom, u Širini 50cm po celom obimu. Predhodno je preko cevi i zida postavljena hidroizolaciona traka koja se prićvršćuje odgovarajućom obujmicom a u svemu  prema  detalju D44.</t>
  </si>
  <si>
    <t>Nabavka materijala i izrada hidroizolacije ukopanog elektro instalaterskog šahta.</t>
  </si>
  <si>
    <t>Obračun po m2 izvedene hidroizolacije.</t>
  </si>
  <si>
    <t>U svemu raditi prema detalju iz projekta D42</t>
  </si>
  <si>
    <t>17)</t>
  </si>
  <si>
    <t>18)</t>
  </si>
  <si>
    <t>Optpornost na cepanje spoja prema DIN EN 12316-2 (N/50 mm) ≥300, otpornost na odvajanje spoja prema DIN EN 12317/2 (N/50 mm)≥800, zatezna sila prema DIN EN 12311-2 (N/50 mm)≥1100, izloženost prema eksternoj vatri  DIN V ENV 1187 - Broof(T1), otpornost na udar DIN EN 12691 (metoda A i metoda B) - mm ≥600, otpornost na statičko opterećenje DIN EN 12730 . metoda B ( kg)≥20, otpornost na cepanje ekserom DIN EN 13859-1 (N)≥400.</t>
  </si>
  <si>
    <t xml:space="preserve">Na geotekstil postaviti  hidroizolacionu PVC membranu debljine 1,5mm. Hidroizolacionu membranu postaviti sa preklopom od 5cm. Spajanje PVC membrane izvesti toplim vazduhom.  Na svakih 70cm visine, hidroizolacionu membranu mehanički fiksirati ankerima- fikserima, a preko fiksera (ankera dužine 5cm), toplim vazduhom zavariti traku širine 10cm od hidroizolacione membrane. </t>
  </si>
  <si>
    <t>Hidroizolaciona membrana treba da bude proizvedena ekstruzijom, sa zatvorenim ivicama, bez mogućnosti pojave kapilarne vlage i mora biti takvih osobina da se može koristiti za sve ostale radove (uključujući i detalje). Hidroizolaciona membrana treba biti otporna na mikroorganizme, bez prisustva kadmijuma i stabilizatora na bazi olova, debljine 1,5mm, otporna na izloženost UV zracima prema DIN EN 1297, otpornost na izloženost vatri prema DIN V ENV 13501-1  Broof(t1), inpregnirana sa tkaninom od staklenih vlakana.</t>
  </si>
  <si>
    <r>
      <rPr>
        <u val="single"/>
        <sz val="10"/>
        <rFont val="Arial"/>
        <family val="2"/>
      </rPr>
      <t>Zaštita hidroizolacije.</t>
    </r>
    <r>
      <rPr>
        <sz val="10"/>
        <rFont val="Arial"/>
        <family val="2"/>
      </rPr>
      <t xml:space="preserve"> hidroizolacionu membranu, u trakama širine od 30cm naneti lepak u spreju. Nakon toga, na membranu zalepiti geotekstil 300gr, lameliranog sa PE </t>
    </r>
    <r>
      <rPr>
        <sz val="10"/>
        <rFont val="Calibri"/>
        <family val="2"/>
      </rPr>
      <t>µ</t>
    </r>
    <r>
      <rPr>
        <sz val="10"/>
        <rFont val="Arial"/>
        <family val="2"/>
      </rPr>
      <t>.</t>
    </r>
  </si>
  <si>
    <t>Obračun po m2.</t>
  </si>
  <si>
    <t>zidovi objekta</t>
  </si>
  <si>
    <t>Hidroizolaciona PVC membrana, treba da bude proizvedena ekstruzijom, sa zatvorenim ivicama, bez mogućnosti pojave kapilarne vlage i mora biti takvih osobina da se može koristiti za sve ostale radove (uključujući i detalje). Membranu postaviti sa preklopom od 5cm. Spajanje membrane izvesti varenjem fenom sa toplim vazduhom. Hidroizolaciona membrana treba biti otporna na mikroorganizme, bez prisustva kadmijuma i stabilizatora na bazi olova, debljine 1,8mm, otpornost na izloženost vatri prema DIN V ENV 13501-1  Broof(t1), inpregnirana sa tkaninom od staklenih vlakana.</t>
  </si>
  <si>
    <t>Optpornost na cepanje spoja prema DIN EN 12316-2 (N/50 mm) ≥300, otpornost na odvajanje spoja prema DIN EN 12317/2 (N/50 mm)≥800, zatezna sila prema DIN EN 12311-2 (N/50 mm)≥1100, izloženost prema eksternoj vatri  DIN V ENV 1187 - Broof(T1), otpornost na udar DIN EN 12691 (metoda A i metoda B) - mm ≥700, otpornost na statičko opterećenje DIN EN 12730. metoda B ( kg)≥20, otpornost na cepanje ekserom DIN EN 13859-1 (N)≥400.</t>
  </si>
  <si>
    <r>
      <rPr>
        <u val="single"/>
        <sz val="10"/>
        <rFont val="Arial"/>
        <family val="2"/>
      </rPr>
      <t xml:space="preserve">Separacija hidroizolacije. </t>
    </r>
    <r>
      <rPr>
        <sz val="10"/>
        <rFont val="Arial"/>
        <family val="2"/>
      </rPr>
      <t>Preko geotekstila postaviti dva sloja PE folije.</t>
    </r>
  </si>
  <si>
    <t>Nabavka materijala i izrada horizontalne hidroizolacije protiv kapilarne vlage ploče na tlu.</t>
  </si>
  <si>
    <t>Podloga preko koje se postavlja hidroizolacija mora biti čista. Preko urađene podloge  od mršavog betona i izravnavajućeg sloja  postaviti geotekstil 300gr.</t>
  </si>
  <si>
    <r>
      <rPr>
        <u val="single"/>
        <sz val="10"/>
        <rFont val="Arial"/>
        <family val="2"/>
      </rPr>
      <t xml:space="preserve">Horizontalna hidroizolacija. </t>
    </r>
    <r>
      <rPr>
        <sz val="10"/>
        <rFont val="Arial"/>
        <family val="2"/>
      </rPr>
      <t xml:space="preserve">Na geotekstil postaviti PVC hidroizolacionu membranu debljine 1,5mm. Hidroizolacionu membranu slobodno položiti sa preklopom od 5cm. </t>
    </r>
  </si>
  <si>
    <r>
      <t>Zaštita hidroizolacije.</t>
    </r>
    <r>
      <rPr>
        <sz val="10"/>
        <rFont val="Arial"/>
        <family val="2"/>
      </rPr>
      <t xml:space="preserve"> Preko hidroizolacione PVC membrane, postaviti geotekstil 300 gr.</t>
    </r>
  </si>
  <si>
    <t>Hidroizolaciju podići po zidovima  i AB stubovima u debljini ploče i slojeva poda. Takođe postaviti u debljini ploče i slojeva poda ekspandirani polistiren d=1cm.</t>
  </si>
  <si>
    <t>U cenu ukalkulisati geotekstil 300gr, hidroizolacionu PVC membranu, geotekstil 300gr, 2 sloja PE folije i ekspandirani polistiren d=1cm, prema opisu.</t>
  </si>
  <si>
    <t>19)</t>
  </si>
  <si>
    <t>d=4cm, zaštita hidroizolacije ploče na tlu</t>
  </si>
  <si>
    <t>U cenu ukalkulisati:geotekstil 300gr., hidroizolacionu PVC membranu d=1,5mm, geotekstil 300gr.lameliranog sa PE µ. U cenu ukalkulisati i sav ostali potreban materijal za izradu hidroizolacije, kao i sve potrebne profile za pričvršćivanje kod preklopa horizontalne hidroizolacije sa vertikalnom.</t>
  </si>
  <si>
    <t>Nabavka i postavljanje termoizolacije (ujedno i zaštite vertikalne hidroizolacije) ukopanih zidova. Termoizolacija je ekspandirani polistiren d=8cm.</t>
  </si>
  <si>
    <t>Oznaka u projektu UKZ1, UKZ1a.</t>
  </si>
  <si>
    <t>Nabavka materijala i izrada horizontalne hidroizolacije  podova (kuhinje, toaleti, mašinska sala) polimercementnom hidroizolacijom.</t>
  </si>
  <si>
    <t>Nabavka materijala i izrada premaza penetratom praga na izlazu u atrijumski prostor - stepenik. Uraditi u svemu prema projektu i detalju D29. Obračun po m2.</t>
  </si>
  <si>
    <t>razni zidarski radovi</t>
  </si>
  <si>
    <t>Nabavka materijala i betoniranje praga  na izlazu  u atrijumski prostor. Raditi od nearmiranog betona C20/25, sa potrebnom oplatom. Raditi u svemu prema projektu i detalju D29. Obračun po m3.</t>
  </si>
  <si>
    <t xml:space="preserve">Završna obrada betona je pigmentnim bojama sa dodatkom plastifikatora koji omogućava veliku otpornost na tarenje i habanje završnog sloja i poboljšava njegovu protivkliznost i kod najmanjih vlaga. U svom hemijskom sastavu moraju imati i con-sheild, koji im dvostruko poboljšava kvalitet. </t>
  </si>
  <si>
    <t>Bordure prema nacrtu. Boje svetlo siva i tamno siva kao postojeći štampani beton na šetalištu.</t>
  </si>
  <si>
    <t>Raditi prema projektovanim padovima.</t>
  </si>
  <si>
    <r>
      <t>Obračun po m</t>
    </r>
    <r>
      <rPr>
        <vertAlign val="superscript"/>
        <sz val="10"/>
        <rFont val="Arial"/>
        <family val="2"/>
      </rPr>
      <t>2</t>
    </r>
    <r>
      <rPr>
        <sz val="10"/>
        <rFont val="Arial"/>
        <family val="2"/>
      </rPr>
      <t>.</t>
    </r>
  </si>
  <si>
    <t>Stomatologija</t>
  </si>
  <si>
    <r>
      <t>Nabvaka materijala i izrada sloja od livenog štampanog betona</t>
    </r>
    <r>
      <rPr>
        <sz val="10"/>
        <rFont val="Arial"/>
        <family val="2"/>
      </rPr>
      <t>. Debljina betona je d=5-7cm, a izvodi se po tehnologiji izvođača. Štampani beton armiran armaturom i fiber vlaknima, sa izradom dilatacionih fuga na dodir. Beton je ojačan sa tri vrste aditiva kojima se sprečava prisustvo vazdušnih jastuka u betonu, pojačava otpornost betona na vrlo niske temperature i na mogućnost pucanja kod ulaska vode u pore betona i plastifikacija betona mikrofiberom koja daje otpornost i žilavost betona na velike pritiske i krunjenje betona.</t>
    </r>
  </si>
  <si>
    <t>atrijum</t>
  </si>
  <si>
    <t>U cenu uračunati i podlogu na koju se polaže  keramika i fugovanje.</t>
  </si>
  <si>
    <t>Fasadna obloga sokle od granitne keramike mora biti nivelisana (horizontalno i vertikalno) i u skladu sa tim uraditi - prilagoditi podkonstrukciju.</t>
  </si>
  <si>
    <t>Poziciju u potpunosti izvesti po projektu i detaljima Izvođača radova. Ploče granitne keramike moraju biti otporne na UV zračenja i atmosferske uticaje.</t>
  </si>
  <si>
    <t>Obračun po m² komplet izvedene pozicije sa podkonstrukcijom i svim potrebnim pripremnim radovima i materijalom do potpune gotovosti u skladu sa opisom.</t>
  </si>
  <si>
    <t>Napomena: Otvori (vrata i prozori) na fasadi su odbijeni a špaletne obračunate.</t>
  </si>
  <si>
    <t>Nabavka materijala i postavljanje termoizolacije na stubovima na 2. spratu u prostoriji T2.05. Termoizolacija kamena vuna d=10cm, 120kg/m3. Malterisanje preko rabica i armaturne mreže obračunato u zidarskim radovima.</t>
  </si>
  <si>
    <t>Nabavka materijala i izrada vertikalne hidroizolacije ukopanih zidova  i sokle fasadnih zidova protiv kapilarne vlage.</t>
  </si>
  <si>
    <t>Napomena: Za stabilnost fasade odgovara Izvođač.
Izvođač fasade je dužan da uradi projekat montaže fasade i da dostavi za sve fasaderske pozicije  radioničke detalje ugradnje fasade na koje saglasnost daju investitor i projektant, kao i da dostavi sve potrebne ateste i garancije za ugrađeni materijal i izvedene radove.
U cenu pozicije ukalkulisati sve pripremne radove, podkonstrukciju, ojačanja oko otvora, potreban zaptivni, vijčani i ostali materijal, fazonske elemente i ostalo do izrade potpune gotovosti pozicije.</t>
  </si>
  <si>
    <t>Oznaka u projektu FZ9, FZ9a</t>
  </si>
  <si>
    <t>Nabavka, transport i oblaganje vertikalnih površina pristupne rampe granitnom keramikom. Granitna keramika se polaže na sloj cementnog maltera u razmeri 1:2. Vrsta, dimenzije i slog granitne keramike u skladu sa ventilisanom fasadom od granitne keramike. Granitna keramika otporna na atmosferske uticaje i UV zračenja.</t>
  </si>
  <si>
    <t>Obračun po m² sa predradnjama.</t>
  </si>
  <si>
    <t>Nabavka materijala i bojenje omalterisaih fasadih površina. Bojiti kvalitetnom akrilnom bojom postojanom na atmosferske uticaje i UV zračenja, u tonu po izboru. Raditi po projektu. U cenu ukalkulisati sve potrebne predradnje i prajmere.</t>
  </si>
  <si>
    <t>oznaka u projektu FZ8, FZ8a</t>
  </si>
  <si>
    <t>Nabavka, transport  i malterisanje fasadnih površina preko termoizolacije rabic i armaturne mreže. Rabic mreža se veže za noseću mrežu punktovanu ili izrađenu od armature ᴓ5mm sa okcima 15-15cm u oba pravca. Armatura  je  vezana  za konstrukciju nerđajućim ankerima. Rabic mreža se prethodno prska cementnim mlekom, zatim malteriše cementnim malterom R 1:3 spravljenim sa upotrebom sejanog šljunka N°1, i finalno malteriše produžnim malterom  R.1:2:6.</t>
  </si>
  <si>
    <t>Cenom obuhvatiti: postavljanje armaturne i rabic mreže i malterisanje. Termoizolacija je obračunata u izolaterskim radovima. Obračun po  m2 komplet.</t>
  </si>
  <si>
    <t>Nabavka materijala i postavljanje termoizolacije na fasadnim soklama (ventilisana fasada - granitna keramika). Termoizolacija - ekstrudirani polistiren d=12cm; 35kg/m3.</t>
  </si>
  <si>
    <t>a) Stomatologija i Uprava</t>
  </si>
  <si>
    <t>Stomatologija i Uprava</t>
  </si>
  <si>
    <t>Stomatologija i Uprava - komunikacije</t>
  </si>
  <si>
    <t>Stomatologija i Uprava - nastava i kancelarije</t>
  </si>
  <si>
    <t>sufit -Stomatologija i Uprava</t>
  </si>
  <si>
    <t>denivelacija - Stomatologija i Uprava</t>
  </si>
  <si>
    <t>Nabavka materijala i izrada premaza penetratom u liftovskom oknu podne ploče.  Premazati penetratom i obimne zidove. Uraditi u svemu prema projektu i detalju D5a i D43. Obračun po m2.</t>
  </si>
  <si>
    <t>Napomena: sve dilatacije pasarele su obračunate uz Stomatologiju i Upravu.</t>
  </si>
  <si>
    <t>Nabavka materijala i izrada dilatacije u podu na delu pasarele i objekata. Dilatacija u podu je aluminijumska ''T'' lajsna. U cenu ukalkulisati i postavljanje ekstrudiranog polistirena d=3cm (35kg/m3) u visini ploče i zaptivanje trajno elastičnim gitom. Uraditi u svemu prema detalju D08 i D12. Obračun po m1.</t>
  </si>
  <si>
    <t>Obračun po m², komplet prema opisu.</t>
  </si>
  <si>
    <t>Nabavka materijala i izrada dekorativnog elementa (pravougaonog oblika 156/100mm) na fasadi od aluminijumskog kompozitnog panela d=4mm. Izgled elementa i način montaže raditi u svemu prema projektu i detalju D11. U cenu ukalkulisati sav potreban materijal sa svim elementima za kačenje i zaptivnim materijalom. Razvijena širina elementa RŠ~60cm.</t>
  </si>
  <si>
    <t xml:space="preserve"> - Horizontalna hidroizolacija. Nabavka materijala i postavljanje hidroizolacione membrane d=1,5mm na ravnom krovu. Hidroizolacionu membranu na bazi PVC-a sa ojačanjem od poliesterske mrežice, postaviti i mehanički fiksirati za podlogu, sa preklopom od 10cm.  Mehaničko fiksiranje membrane izvesti vijcima i tiplovima, odgovarajuće dužine. Spajanje membrane izvesti varenjem toplim vazduhom.  Hidroizolaciona membrana sive boje, treba da bude proizvedena ekstruzijom, sa zatvorenim ivicama, bez mogućnosti pojave kapilarne vlage i mora biti takvih osobina da se može koristiti za sve ostale radove (uključujući i detalje).</t>
  </si>
  <si>
    <t>Napomena: Sve prodore kroz krov, dilatacije na krovu obraditi prema projektu i detaljima u projektu i ukalkulisati u cenu. Obradu prodora na krovu, slivnika i okapnica, dilatacija uraditi u svemu po uputstvu i detaljima proizvođača. Materijali za obrada prodora moraju biti u skladu sa hidroizolacijom koja se koristi za pokrivanje.</t>
  </si>
  <si>
    <t>Nabavka materijala i postavljanje termoizolacije na dilataciji u krovu. Termoizolacija ekstrudirani polistiren d=3cm, gustine 35kg/m3. Termoizolacija se postavlja u debljini AB konstrukcije i  u debljini slojeva krova. Raditi u svemu prema detalju iz projekta D13.</t>
  </si>
  <si>
    <t>Nabavka materijala i montaža dilatacije u spuštenom plafonu na delu pasarele i objekata. Obračun po m1.</t>
  </si>
  <si>
    <t>U cenu ukalkulisati obradu spoja gips-kartonskih pregrada sa AL profilom fasade, prema detalju D21.</t>
  </si>
  <si>
    <t>c) Nastavni sadržaj</t>
  </si>
  <si>
    <t>Nabavka materijala i postavljanje termoizolacije na zidove instalaterskih kanala iznad ravni krova. Termoizolacija - ekstrudirani poplistiran d=5cm 35kg/m3. Obračun po m2</t>
  </si>
  <si>
    <t>(detalj D19)</t>
  </si>
  <si>
    <t>Napomena: u jediničnu cenu pozicije uračunati pomoćni materijal, spojna i zaptivna sredstva kao i postavljanje ter-hartije.</t>
  </si>
  <si>
    <t>Na kontaktu različitih metala postaviti podsloške od EPDM-a radi sprečavanja galvanskih spojeva.</t>
  </si>
  <si>
    <t>Obračun po m1.</t>
  </si>
  <si>
    <t>Nabavka materijala i izrada opšivke završetka zida instalaterskih kanala iznad ravni krova. Opšivka od  čeličnog, pocinkovanog, plastificiranog lima d=0,7mm sa nosačem opšivke - čelični flah. Plastifikacija lima u skladu sa fasadom a prema projektu. Razvijena širina RŠ40cm. Raditi u svemu prema projektu i detalju D19.</t>
  </si>
  <si>
    <t>U okviru pozicije uraditi i sloj nearmiranog betona d=5cm, C16/20, što treba ukalkulistti u cenu. U svemu raditi prema projektu i detalju D38.</t>
  </si>
  <si>
    <t>RAZNI RADOVI</t>
  </si>
  <si>
    <t>Na mestima predviđenim projektom, a po odgovarajućim opisima i detalju postaviti klupu.</t>
  </si>
  <si>
    <t>Obračun po m2, razvijene površine.</t>
  </si>
  <si>
    <t>Nabavka materijala i izrada klupe.</t>
  </si>
  <si>
    <t>Nabavka marerijala i izrada štampanog betona debljine d=5cm na zidovima žardinjere. Zidovi su od armiranog betona.</t>
  </si>
  <si>
    <t>Štampani beton  armiran armaturom i fiber vlaknima, sa izradom dilatacionih fuga na dodir. Beton je ojačan sa tri vrste aditiva kojima se sprečava prisustvo vazdušnih jastuka u betonu, pojačava otpornost betona na vrlo niske temperature i na mogućnost pucanja kod ulaska vode u pore betona i plastifikacija betona mikrofiberom koja daje otpornost i žilavost betona na velike pritiske i krunjenje betona.</t>
  </si>
  <si>
    <t>Bordure prema nacrtu. Raditi u svemu prema projektu i detalju D38.</t>
  </si>
  <si>
    <t>Klupa za sedenje. Klupa se sastoji od kutijastih profila 30/30mm koji formiraju ''L'' profil, fiksiranih za betonski zid žardinjere vijcima i drvenih talpi četinara I klase, pravougaonog poprečnog preseka, dimenzija 3,5x8/45cm. Boja prema prema projektu.
Talpe premazati bezbojnom vodorazredivom glazurnom impregnacijom - osnovni sloj, a zatim lakirati UV stabilisanim bezbojnim lakom 2 puta. Širina klupe 40cm. Visina postavljanja klupe od kote terena na h=37cm. Raditi u svemu prema projektu i detalju D38.</t>
  </si>
  <si>
    <t>Nabavka i izrada hidroizolacije žardinjere.</t>
  </si>
  <si>
    <t>Površine očistiti od metalnih i drugih oštrih predmeta, ivice i   uglove zaobliti. Oko prodora uraditi sva potrebna ukrajanja i ojačanja. Hidroizolaciju po obimu prostorije podići za 15cm. Nakon završetka hidroizolacije izvršiti proveru iste.</t>
  </si>
  <si>
    <t>Obračun po m2 komplet prema opisu sa podizanjem i obradom prodora.</t>
  </si>
  <si>
    <r>
      <rPr>
        <u val="single"/>
        <sz val="10"/>
        <rFont val="Arial"/>
        <family val="2"/>
      </rPr>
      <t xml:space="preserve">Separacioni sloj. </t>
    </r>
    <r>
      <rPr>
        <sz val="10"/>
        <rFont val="Arial"/>
        <family val="2"/>
      </rPr>
      <t xml:space="preserve">
Na podlogu od nabijenog betona postaviti geotekstil 1000 gr, kao separacioni sloj.</t>
    </r>
  </si>
  <si>
    <r>
      <t>Separacioni sloj.</t>
    </r>
    <r>
      <rPr>
        <sz val="10"/>
        <rFont val="Arial"/>
        <family val="2"/>
      </rPr>
      <t xml:space="preserve"> Preko hidroizolacije postaviti geotekstil 1000 gr.</t>
    </r>
  </si>
  <si>
    <t>zatezna sila prema DIN EN 12311-2 (N/50 mm)≥1100, izloženost prema eksternoj vatri  DIN V ENV 1187 - Broof(T1), otpornost na udar DIN EN 12691 (metoda A i metoda B) - mm ≥ 700, otpornost na statičko opterećenje DIN EN 12730, metoda B ( kg)≥20, otpornost na cepanje ekserom DIN EN 13859-1 (N)≥400, otpornost na penetraciju korova prema DIN EN 13948 (prošao), otpornost na izloženost UV zračenju prema DIN EN 1297 (prošao).</t>
  </si>
  <si>
    <t>Hidroizolaciona membrana treba biti otporna na mikroorganizme, bez prisustva kadmijuma i stabilizatora na bazi olova, debljine 1,5mm, otpornost na izloženost vatri prema DIN V ENV 13501-1  Broof(t1), inpregnirana sa tkaninom od staklenih vlakana. Otpornost na cepanje spoja prema DIN EN 12316-2 (N/50 mm) ≥300, otpornost na odvajanje spoja prema DIN EN 12317/2 (N/50 mm)≥800,</t>
  </si>
  <si>
    <t>Raditi u svemu prema uputstvu proizvođača, projektu, detaljima i sa obučenom radnom snagom. Za ispravnost , vodonepropusnost, otpornost  odgovora izvođač i prilaže garanciju na zakonom predviđeni vremenski priod.</t>
  </si>
  <si>
    <r>
      <rPr>
        <u val="single"/>
        <sz val="10"/>
        <rFont val="Arial"/>
        <family val="2"/>
      </rPr>
      <t xml:space="preserve">Horizontalna hidroizolacija. </t>
    </r>
    <r>
      <rPr>
        <sz val="10"/>
        <rFont val="Arial"/>
        <family val="2"/>
      </rPr>
      <t xml:space="preserve">
Na geotekstil postaviti PVC hidroizolacionu membranu debljine 1,5mm. </t>
    </r>
  </si>
  <si>
    <t>Hidroizolacionu membranu slobodno položiti sa preklopom od 5cm. Hidroizolaciona membrana sive boje, treba da bude proizvedena ekstruzijom, sa zatvorenim ivicama, bez mogućnosti pojave kapilarne vlage i mora biti takvih osobina da se može koristiti za sve ostale radove (uključujući i detalje). Membranu postaviti sa preklopom od 5cm. Spajanje membrane izvesti varenjem fenom sa toplim vazduhom.</t>
  </si>
  <si>
    <t>U cenu uračunati sav potreban materijal. Raditi u svemu prema projektu i detalju D38.</t>
  </si>
  <si>
    <t>istraživanje (atrijum)</t>
  </si>
  <si>
    <r>
      <t>Nabavka materijala i izrada opšivke. Opšivanje fasadnih atika / nazidaka i završetka fasadne obloge čeličnim, pocinkovanim, plastificiranim limom d=0,7mm sa  podlogom od vodotporne OSB 3 ploče d=1,8cm i nosačem opšivke - čelični flah. Plastifikacija lima u skladu sa fasadom a prema projektu.  Razvijena širina RŠ</t>
    </r>
    <r>
      <rPr>
        <sz val="10"/>
        <rFont val="Arial"/>
        <family val="2"/>
      </rPr>
      <t>~</t>
    </r>
    <r>
      <rPr>
        <sz val="10"/>
        <rFont val="Arial"/>
        <family val="2"/>
      </rPr>
      <t>80cm. Raditi u svemu prema projektu i detalju D10, D14, D15a, D23, D25.</t>
    </r>
  </si>
  <si>
    <t>- Termoizolacija d=28cm – ekstrudirani polistiren - 35kg/m3; ravnomerne gustine po celoj debljini ploče, za toplotnu, zvučnu zaštitu. Na parnu branu postaviti ploče ekstrudiranog polistirena tezine 35kg/m³,  koje se polažu u više slojeva: ploče gornjeg sloja moraju da budu smaknute za polovinu ploče u odnosu na ploče donjeg sloja, i po dužini i po širini. tj. spojevi ploča gornjeg i donjeg sloja ne smeju da se podudaraju.</t>
  </si>
  <si>
    <t>Nabavka materijala i pokrivanje ravnih neprohodnih krovova u sledećim slojevima (RK1, RK4, RK5):</t>
  </si>
  <si>
    <t>Nabavka materijala i postavljanje termoizolacije na plafonima erkera. Termoizolacija ploče kamene vune, debljine d=18cm, 40kg/m3.</t>
  </si>
  <si>
    <t>Nabavka i postavljanje termoizolacije na plafonu ravnog krova (plafon iznad neprohodne terase). Termoizolacija kamena vuna d=14cm, gustine 40kg/m3.</t>
  </si>
  <si>
    <t xml:space="preserve"> - vlagootporna OSB3 ploča d=1,8cm, postavljena horizontalno. Obračun po m², komplet prema opisu.</t>
  </si>
  <si>
    <t>Napomena: podloga od vodootporne OSB ploče d=1,8cm je obračunata u pokrivačkim radovima.</t>
  </si>
  <si>
    <t>Nabavka materijala i izrada - povijanje slojeva ravnog krova oko nazidaka. Oznaka u projektu krova RK1, RK4, RK5.</t>
  </si>
  <si>
    <t>Nastavni sadržaj</t>
  </si>
  <si>
    <t xml:space="preserve"> - Parna brana ravnih  krovova povijena u debljini horizontalne termoizolacije krova: bitumenske trake sa AL folijom d=0,5cm. Obračun po m², komplet prema opisu.</t>
  </si>
  <si>
    <t>Oznaka u projektu RK3</t>
  </si>
  <si>
    <t>Nabavka materijala i pokrivanje ravnih neprohodnih krovova u sledećim slojevima (RK3):</t>
  </si>
  <si>
    <t>Nabavka materijala i pokrivanje ravnih prohodnih krovova u sledećim slojevima (RK6a):</t>
  </si>
  <si>
    <t xml:space="preserve"> - Sloj lakog betona d=11cm: Preko sloja termoizolacije postaviti dva sloja PE folije i izraditi sloj  od lako betona  debljine d=11cm. Mikroarmiranje betonskog sloja za pad, makro sintetičkim, strukturnim vlaknima dužine 54 i ekvivalentnog promera 0,342mm, u količini od 1,5kg/m3 betona.</t>
  </si>
  <si>
    <t>Oznaka u projektu RK6a</t>
  </si>
  <si>
    <t xml:space="preserve">U cenu uračunati sve pobrojane slojeve.Obračun po m² horizontalne projekcije, komplet prema opisu. </t>
  </si>
  <si>
    <t xml:space="preserve">U cenu uračunati sve pobrojane slojeve. Obračun po m² horizontalne projekcije, komplet prema opisu. </t>
  </si>
  <si>
    <t>Nabavka materijala i izrada - povijanje slojeva ravnog krova kod parapeta atrijuma. Oznaka u projektu krova RK6a.</t>
  </si>
  <si>
    <t xml:space="preserve"> - Napomena: Termoizolacija je obračunata uz soklu fasade atrijuma ''Nastavnog sadržaja''. Oznaka fasade je FZ9.</t>
  </si>
  <si>
    <t>Nabavka materijala i pokrivanje ravnih neprohodnih krovova u sledećim slojevima (RK7):</t>
  </si>
  <si>
    <t>- Termoizolacija d=5cm – ekstrudirani polistiren - 35kg/m3; ravnomerne gustine po celoj debljini ploče, za toplotnu, zvučnu zaštitu. Na parnu branu postaviti ploče ekstrudiranog polistirena tezine 35 kg/m³,  koje se polažu u više slojeva: ploče gornjeg sloja moraju da budu smaknute za polovinu ploče u odnosu na ploče donjeg sloja, i po dužini i po širini. tj. spojevi ploča gornjeg i donjeg sloja ne smeju da se podudaraju.</t>
  </si>
  <si>
    <t>Nabavka materijala i izrada - povijanje slojeva ravnog krova oko nazidaka. Oznaka u projektu krova RK3</t>
  </si>
  <si>
    <t>Nabavka materijala i pokrivanje ravnih neprohodnih krovova u sledećim slojevima (RK2):</t>
  </si>
  <si>
    <t>- Termoizolacija d=26cm – ekstrudirani polistiren - 35kg/m3; ravnomerne gustine po celoj debljini ploče, za toplotnu, zvučnu zaštitu. Na parnu branu postaviti ploče ekstrudiranog polistirena tezine 35kg/m³,  koje se polažu u više slojeva: ploče gornjeg sloja moraju da budu smaknute za polovinu ploče u odnosu na ploče donjeg sloja, i po dužini i po širini. tj. spojevi ploča gornjeg i donjeg sloja ne smeju da se podudaraju.</t>
  </si>
  <si>
    <t>Nabavka materijala i izrada slojeva ( povijanje vertikalno) ravnog krova oko nazidaka. Oznaka u projektu krova RK2</t>
  </si>
  <si>
    <r>
      <t xml:space="preserve">a) Stomatologija i Uprava; </t>
    </r>
    <r>
      <rPr>
        <sz val="10"/>
        <rFont val="Arial"/>
        <family val="2"/>
      </rPr>
      <t>Razvijena širina RŠ~80cm</t>
    </r>
  </si>
  <si>
    <r>
      <t xml:space="preserve">b) Istraživanje; </t>
    </r>
    <r>
      <rPr>
        <sz val="10"/>
        <rFont val="Arial"/>
        <family val="2"/>
      </rPr>
      <t>Razvijena širina RŠ~80cm</t>
    </r>
  </si>
  <si>
    <t>Nabavka materijala i izrada okapnice- opšivke na krovu restorana (kod krova RK2). Preko okapnice se postavlja poklopna ploča od kamena što je obračunato posebno. Opšivanje nazidaka čeličnim, pocinkovanim, plastificiranim limom d=0,7mm. Plastifikacija lima u skladu sa fasadom a prema projektu.  Razvijena širina RŠ~25cm. Raditi u svemu prema projektu i detalju.</t>
  </si>
  <si>
    <t>Istraživanje (atrijum)</t>
  </si>
  <si>
    <t>1 sprat - kaskada- denivelacija h=43cm</t>
  </si>
  <si>
    <t>e)</t>
  </si>
  <si>
    <t>Nastavni sadržaj - Restoran</t>
  </si>
  <si>
    <t>podrum - Visina od gotovog poda h=2,80m, visina spuštanja h=0,65m</t>
  </si>
  <si>
    <t>podrum - suteren (visina od gotovog poda h=2,8m i h=3,0m; visina spuštanja h=0,65m i h=0,97m)</t>
  </si>
  <si>
    <t>Raditi u svemu prema projektu. U cenu ukalkulisati sav potreban materijal, ojačanja, radnu skelu. Obračun po m2, komplet prema opisu</t>
  </si>
  <si>
    <t>U cenu ukalkulisati sav potreban materijal, ojačanja, radnu skelu. Obračun po m2, komplet prema opisu</t>
  </si>
  <si>
    <t>prizemlje -  (visina od gotovog poda h=3,5m; visina spuštanja h=1,25m i h=0,93m)</t>
  </si>
  <si>
    <t>prizemlje -  (visina od gotovog poda h=3,0m; visina spuštanja h=0,75m i h=0,43m)</t>
  </si>
  <si>
    <t>prizemlje (visina od gotovog poda h=3,5m visina spuštanja h=1,25m i h=0,93m)</t>
  </si>
  <si>
    <t>1 sprat (visina od gotovog poda h=3,0m visina spuštanja h=0,75m)</t>
  </si>
  <si>
    <t>2 sprat (visina od gotovog poda h=3,0m visina spuštanja h=0,75m)</t>
  </si>
  <si>
    <t>2. sprat (visina od gotovog poda h=2,6m; visina spuštanja h=1,15m)</t>
  </si>
  <si>
    <t>Oznaka u projektu KIN1, KIN2, KIN2a</t>
  </si>
  <si>
    <t>a) Nastavni sadržaj</t>
  </si>
  <si>
    <t>Nabavka i postavljanje termoizolacije na plafonu dela šahta- tunela. Termoizolacija ekstrudirani polistiren d=10cm, gustine 35kg/m3. Termoizolacija je završni sloj plafona. Raditi u svemu prema projektu i detalju D70.</t>
  </si>
  <si>
    <t>Nabavka i postavljanje termoizolacije na plafonu. Termoizolacija kamena vuna d=14cm, gustine 120kg/m3. Preko termoizolacije se malteriše preko rabica i armaturne mreže, što je posebno obračunato u zidarskim radovima. Raditi u svemu prema projektu i detalju D70.</t>
  </si>
  <si>
    <r>
      <t xml:space="preserve">Nastavni sadržaj - </t>
    </r>
    <r>
      <rPr>
        <sz val="10"/>
        <rFont val="Arial"/>
        <family val="2"/>
      </rPr>
      <t>podrum - suteren</t>
    </r>
  </si>
  <si>
    <t>Nabavka materijala i postavljanje termoizolacije na zidove. Termoizolacija kamena vuna d=10cm 120kg/m3. U okviru pozicije postaviti PE foliju. Preko termoizolacije se malteriše preko rabica i armaturne mreže što je posebno obračunato u zidarskim radovima.</t>
  </si>
  <si>
    <t>Nabavka materijala i postavljanje termoizolacije na zidove. Termoizolacija kamena vuna d=10cm 120kg/m3. Preko termoizolacije se malteriše preko rabica i armaturne mreže što je posebno obračunato u zidarskim radovima.</t>
  </si>
  <si>
    <t>Oznaka u projektu UZ3</t>
  </si>
  <si>
    <t>Oznaka u projektu UZ2b, UZ1</t>
  </si>
  <si>
    <t>Nabavka materijala i postavljanje bobičaste folije, kao zaštite vertikalne hidroizolacije.</t>
  </si>
  <si>
    <t>protivklizna granitna keramika za spoljašnje uslove (R11). Otporna na mraz.</t>
  </si>
  <si>
    <t>c) Istraživanje</t>
  </si>
  <si>
    <t>oznaka MK3, protivkliznost R11</t>
  </si>
  <si>
    <t>Nabavka materijala i poločavanje podova  podnom, protivkliznom (R11), granitnom  keramikom I klase, za spoljašnje uslove (otpornom na mraz i atmosferske uticaje. Debljina ploče d=1cm. Dimenzija, slog, boja po projektu. Granitna keramika se polaže na sloj lepka odgovarajući za granitnu keramiku i za spoljašnje uslove. Fuge popuniti masom za fugovanje za spoljašnje uslove. Obračunati posebno soklu koja se polaže takođe na lepak.</t>
  </si>
  <si>
    <t>Sav materijal koji se koristi mora biti otporan za atmosferske uticaje i mraz.</t>
  </si>
  <si>
    <t>d=7,0cm - završna obrada, fino uglačano - oznaka PT4, PT4a, PT5</t>
  </si>
  <si>
    <t>d=7,0cm - završna obrada, uglačana do crnog sjaja - oznaka  PT5, PT4</t>
  </si>
  <si>
    <t>20)</t>
  </si>
  <si>
    <t>d=3cm, završna obrada fino uglačano, lift jama,  oznaka PT9.</t>
  </si>
  <si>
    <t>d=5,5cm - podloga za keramičke pločice (mini kuhinja, garderobe) - oznaka PT2a, PT2</t>
  </si>
  <si>
    <t>b) Nastavni sadržaj</t>
  </si>
  <si>
    <t>Hidroizolaciju podići uz obimne zidove  min. 20cm i ukalkulisati u cenu. Spoj vertikalne i horizontalne hidroizolacije dodatno ojačati elastičnom mrežicom što je obuhvaćeno cenom.</t>
  </si>
  <si>
    <t>d) Nastavni sadržaj</t>
  </si>
  <si>
    <t>d) Nastavni sadržaj (restoran-menza i priprema)</t>
  </si>
  <si>
    <t>Poziciju u potpunosti izvesti po projektu. Obračun po m² za pod a za soklu po m1, komplet izvedene pozicije sa svim potrebnim pripremnim radovima i materijalom do potpune gotovosti u skladu sa opisom.</t>
  </si>
  <si>
    <t>Polaganje pločica izvesti visoko kvalitetnim fleksibilnim cementnim lepkom klase C2TE. Fugovanje sa masom otpornom na buđi (BioBlock), vodoodbojnom klase CG2. Svi spojevi zidova i podova izvode se popunjavanjem elastičnom masom otpornom na bakterije i buđi, u istom tonu boje kao i masa za fugovanje.</t>
  </si>
  <si>
    <t>Nabavka materijala i postavljanje termoizolacije na zidove. Termoizolacija kamena vuna d=3cm 120kg/m3. U okviru pozicije postaviti i aluminijumsku foliju. Preko termoizolacije se malteriše preko rabica i armaturne mreže što je posebno obračunato u zidarskim radovima.</t>
  </si>
  <si>
    <t>oznaka PT2, PT3, PT5 PT6, PT7a, PT7b, PT8</t>
  </si>
  <si>
    <t>d=5,5cm - završna obrada, fino uglačano - oznaka MK1, E4</t>
  </si>
  <si>
    <t>Nabavka materijala i poločavanje podova  podnom, protivkliznom (R9), granitnom  keramikom I klase. Debljina ploče d=1cm. Dimenzije, vrsta, boja i slog po  projektu. Granitna keramika se polaže na sloj lepka odgovarajući za granitnu keramiku. Fuge popuniti masom za fugovanje. Obračunati posebno soklu koja se polaže takođe na lepak.</t>
  </si>
  <si>
    <t>d) Nastavni sadržaj - Amfiteatar</t>
  </si>
  <si>
    <t>d) Nastavni sadržaj - Amfiteatar - prizemlje</t>
  </si>
  <si>
    <t>Napomena: obračunate su horizontalne površine, vertikalne površine (čela) i bočne strane međustepenika. U svemu raditi prema projektu.</t>
  </si>
  <si>
    <t>oznaka PT7, PT10,MK10, KIN2, MK6</t>
  </si>
  <si>
    <t>m2</t>
  </si>
  <si>
    <t>d=6,5cm - podloga za PVC i PVC antistatik pod, PVC antistatik otporan na hemij. reakcije - oznaka PT7b i PT7a</t>
  </si>
  <si>
    <t>d=4,5cm - podloga za PVC  i PVC antistatik- oznaka MK 6, MK6a, KIN2b</t>
  </si>
  <si>
    <t>oznaka KIN2, MK6</t>
  </si>
  <si>
    <t>oznaka PT7, PT10, MK10</t>
  </si>
  <si>
    <t>oznaka MK 2, MK 3, MK 6, MK 7, MK 8, KIN2b</t>
  </si>
  <si>
    <t>Preko pripremljene podloge postaviti filc i foliju. Pored zidova ostaviti dilatacione spojnice širine 10mm. Lepak naneti ravnomerno na celu širinu falca. Podnu oblogu pažljivo postaviti i sastaviti, sa potpuno zatvorenim spojnicama. Obrisati lepak. Pored zidova postaviti lajsne i na svakih 80cm lajsne pričvrstiti za zid. Sučeljavanja gerovati.</t>
  </si>
  <si>
    <t>oznaka PT6, MK8</t>
  </si>
  <si>
    <t>oznaka PT6</t>
  </si>
  <si>
    <r>
      <t xml:space="preserve">1) PVC pod, </t>
    </r>
    <r>
      <rPr>
        <sz val="10"/>
        <rFont val="Arial"/>
        <family val="2"/>
      </rPr>
      <t>oznaka MK6, PT7b</t>
    </r>
  </si>
  <si>
    <r>
      <t xml:space="preserve">3) PVC antistatik pod, otporan na hemijske reakcije, </t>
    </r>
    <r>
      <rPr>
        <sz val="10"/>
        <rFont val="Arial"/>
        <family val="2"/>
      </rPr>
      <t>oznaka MK6b</t>
    </r>
  </si>
  <si>
    <r>
      <t xml:space="preserve">4) PVC pod, otporan na hemijske reakcije, </t>
    </r>
    <r>
      <rPr>
        <i/>
        <sz val="10"/>
        <rFont val="Arial"/>
        <family val="2"/>
      </rPr>
      <t>oznaka MK6c</t>
    </r>
  </si>
  <si>
    <r>
      <rPr>
        <b/>
        <sz val="10"/>
        <rFont val="Arial"/>
        <family val="2"/>
      </rPr>
      <t>Napomena:</t>
    </r>
    <r>
      <rPr>
        <sz val="10"/>
        <rFont val="Arial"/>
        <family val="2"/>
      </rPr>
      <t xml:space="preserve">  Zbog sprečavanja prenosa zvuka ispod obodnih CW i UW profila naneti zaptivni kit. Obrada spojeva impregniranim praškastim materijalom s upotrebom papirne bandaž trake . </t>
    </r>
  </si>
  <si>
    <t>Bojenje malterisanih armirano betonskih plafona i spuštenih plafona od gips kartona. Bojiti poludisperzivnom bojom. U okviru bojenja uraditi i   gletovanje sa potrebnim svim predradnjama. Bojiti do postizanja ravnomernog i čistog tona. U cenu ukalkulisati bojenje u više boja a prema projektu.</t>
  </si>
  <si>
    <t>1) Malterisani plafoni</t>
  </si>
  <si>
    <t>2) Spušteni plafoni od gips kartona</t>
  </si>
  <si>
    <r>
      <t>Nabavka materijala i bojenje</t>
    </r>
    <r>
      <rPr>
        <sz val="11"/>
        <rFont val="Arial"/>
        <family val="2"/>
      </rPr>
      <t xml:space="preserve"> </t>
    </r>
    <r>
      <rPr>
        <sz val="10"/>
        <rFont val="Arial"/>
        <family val="2"/>
      </rPr>
      <t>disperzivnom bojom sa gletovanjem zidova toaleta i kuhinje- pripreme (menze) iznad keramičkih pločica. Bojiti do postizanja ravnomernog i čistog tona. Boja visokog kvaliteta za vlažne prostorije, otporna na plesni, dobro paropropusna.</t>
    </r>
  </si>
  <si>
    <t>Oblaganje zidova pločica izvesti visoko kvalitetnim fleksibilnim cementnim lepkom klase C2TE. Fugovanje sa masom otpornom na buđi (BioBlock), vodoodbojnom klase CG2. Svi spojevi zidova i podova izvode se popunjavanjem elastičnom masom otpornom na bakterije i buđi, u istom tonu boje kao i masa za fugovanje.</t>
  </si>
  <si>
    <t>Završno čišćenje objekta pred tehnički prijem sa pranjem podova, obloženih i ostakljenih površina itd. Obračun po m2 neto površine.</t>
  </si>
  <si>
    <t>Spušteni plafon treba da zadovolji sve potrebne uslove a prema tehnologiji. Atest o potrebnim uslovima pribavlja izvođač radova.</t>
  </si>
  <si>
    <t>Potkonstrukciju čine primarni i sekundarni čelični pocinkovani profili, na rastojanju od 120cm, odn. 60cm. Kačenje o armiranobetonsku tavanicu izvesti nonijus krutim vešaljkama i metalnim tiplovima. U jediničnu cenu je uključen ivični U ugaoni profili (0,6 m´/m²)  za oslanjanje ivičnih ploča. Montažu izvesti u svemu prema uputstvu proizvođača.</t>
  </si>
  <si>
    <t>Apsorpcija zvuka plafonskih ploča αw=0,60 prema EN ISO 11654.Zvučna izolacija plafona iznosi Dn,c,w = 34 dB prema EN 20140-9. Ploče su otporne na relativnu vlažnost vazduha do 95%. Ploče su u klasi negorivih građevinskih materijala A2-s1,d0 u skladu sa SRPS EN 13501-1.
Raditi u svemu prema projektu i uputstvu proizvođača spuštenog plafona.</t>
  </si>
  <si>
    <t>Nabavka i montaža spuštenog plafona od mineralnih ploča. mikroperforirani, sistem C, dimenzije ploča su 600x600 mm, debljina 15mm.
Plafonske ploče upuštenih (VT24) ivica, polažu se u čeličnu potkonstrukciju širine 24mm, obodni profil je stepenast SRWL 15/25/8/15mm.</t>
  </si>
  <si>
    <t>Spušten plafon tipa Thermatex Feinstratos  ili odgovarajuće, sistem C.</t>
  </si>
  <si>
    <t>podrum (visina od gotovog poda h=2,60m; visina spuštanja h=0,88m h=1,28m)</t>
  </si>
  <si>
    <t>Obrada spojeva prema potrebnim zahtevima za ovu vrstu spuštenog plafona. Raditi u svemu po projektu, opremi koja se  i uputstvu proizvođača.</t>
  </si>
  <si>
    <t>U cenu ukalkulisati obradu spoja plafona sa zidom kao i formiranje i obradu  svih potrebnih otvora za rasvetu, ventilaciju i sl. a u skladu sa potrebnim zahtevima za zaštitu od rengenskog zračenja.</t>
  </si>
  <si>
    <t>oznaka u projektu UZ5a</t>
  </si>
  <si>
    <t>Nabavka i montaža  spuštenih plafona u prostoriji ''Rentgen'' (sa oznakom S0.36, prizemlje - stomatologija). Spušteni plafon od  monolitnih  gipskartonskih ploča sa zaštitom
od zračenja za medicinske Rentgen uređaje. Debljina gips ploča je 2x1,25cm sa zaštitom od rengenskog zračenja od olovnog lima.</t>
  </si>
  <si>
    <t>Napomena: Debljina olovnog lima zavisi od opreme tj. Rengen uređaja.</t>
  </si>
  <si>
    <t>Napomena: Debljina olovne folije - lima zavisi od opreme tj. Rengen uređaja.</t>
  </si>
  <si>
    <r>
      <t>Gips kartonske pregrade za zaštitu od rengenskog zračenja sa pločama kaširanim olovnom folijom / limom. Pregrade ukupne debljine d=</t>
    </r>
    <r>
      <rPr>
        <b/>
        <sz val="10"/>
        <rFont val="Arial"/>
        <family val="2"/>
      </rPr>
      <t>15cm</t>
    </r>
    <r>
      <rPr>
        <sz val="10"/>
        <rFont val="Arial"/>
        <family val="2"/>
      </rPr>
      <t>,  koje se sastoje od sledećih slojeva:</t>
    </r>
  </si>
  <si>
    <t>- dvoslojne gips kartonske ploče, kaširane  olovnom folijom / limom d=2x1,25cm</t>
  </si>
  <si>
    <t xml:space="preserve">Nabavka i montaža spuštenog plafona od vlagootpornih mineralnih ploča dimenzije ploča su 600x600mm, debljina 15mm. Plafonske ploče upuštenih (VT24) ivica, polažu se u čeličnu potkonstrukciju širine 24mm, obodni profil je stepenast SRWL 15/25/8/15mm. </t>
  </si>
  <si>
    <t>Spušteni plafon tipa kao Thermatex Feinstratos ili ekvivalentno, sistem C,</t>
  </si>
  <si>
    <t>Ploče su otporne na relativnu vlažnost vazduha do 95%. Zvučna izolacija plafona iznosi Dn,c,w =34dB prema EN 20140-9. Ploče su u klasi negorivih građevinskih materijala A2-s1, d0 u skladu sa SRPS EN 13501-1. Ugradnja je u svemu prema uputstvu proizvođača i na odgovarajućoj podkonstrukciji.</t>
  </si>
  <si>
    <t>Nabavka materijala i izrada premaza penetratom na ulazima kod vrata, zid zavese  i  ivične temeljne grede. Uraditi u svemu prema projektu i detalju D06, D.57.</t>
  </si>
  <si>
    <t>Oznaka u projektu FZ8b</t>
  </si>
  <si>
    <t>Oznaka u projektu FZ8, FZ8a</t>
  </si>
  <si>
    <t>Oznaka u projektu RK1 i RK4, RK5.</t>
  </si>
  <si>
    <t xml:space="preserve">Nabavka materijala i poločavanje podova  toaleta, garderoba, mini kuhinja i prostorija održavanja u podrumu, podnim protivkliznim (R10 i R11) keramičkim pločicama I klase. Debljina ploče d=1cm, dimenzije, vrsta, boja i slog po projektu. Keramika se polaže na sloj lepka. Pločice se lepe odgovarajućim lepkom za keramiku koji je kompatibilan sa hidroizolacijom. Fuge popuniti masom za fugovanje.                           </t>
  </si>
  <si>
    <t>oznaka PT2, protivkliznost R10</t>
  </si>
  <si>
    <t>oznaka MK 3, protivkliznost R10</t>
  </si>
  <si>
    <t>oznaka PT2, PT2a, MK3, protivkliznost R10</t>
  </si>
  <si>
    <t>oznaka PT2, MK3, protivkliznost R10</t>
  </si>
  <si>
    <t xml:space="preserve">Nabavka materijala i poločavanje podova trema i pristupne rampe protivkliznom granitnom keramikom (R12) d=1cm. Vrsta, boja i slog po projektu. Keramika se polaže na sloju cementnog maltera d=5-7cm. Fuge popuniti masom za fugovanje za spoljašnje uslove, otpornom na atmosferske uticaje i UV zračenja.          </t>
  </si>
  <si>
    <t>Popločavanje podova u stepenišnom prostoru, (međupodesti i stepenici) protivkliznom R9, podnom granitnom keramikom, I klase. Debljina ploče d=1cm. Keramika se polaže u sloju cementnog maltera d=3cm. Vrsta, boja i slog po projektu.  Fuge popuniti odgovarajućom masom za fugovanje. Početak gazište je sa žljebovima, zbog protivkliznosti (detalj D4).
Sokla h=10cm koja je na podestima ravna a na kracima testerasta  polaže se na sloj lepka. Obračun po m2 za podest, gazište i čelo a za soklu po m1, komplet prema opisu. Raditi u svemu po tehničkom opisu i projektu.</t>
  </si>
  <si>
    <t>Ugradnja sistema:
Brušenje podloge, uklanjanje cementnog mleka i prašine. Čišćenje industrijskim usisivačem. Ukoliko je podloga neravna i neadekvatna, podlogu sanirati malterima iz klase R4. Na adekvatno pripremljenu podlogu naneti samorazlivnu masu u dva radna koraka debljine cca 2mm koristeći ravan i nazubljeni gleter. Na ovako pripremljenu podlogu naneti dvokomponentni epoksidni prajmer koristeći kratkodlaki valjak.</t>
  </si>
  <si>
    <t>Nabavka materijala, izrada, i montaža unutrašnjih klupica na prozorima. Raditi od medijapana d=3cm, bojeno poliuretanskom bojom sa potrebnim svim predradnjama. Širina 30-35cm. Raditi u svemu prema projektu. Obračun po m1.</t>
  </si>
  <si>
    <t>Napomena: Debljina olovnog folije / lima zavisi od opreme tj. Rengen uređaja.</t>
  </si>
  <si>
    <t>Napomena:  Završna obrada - sloj od livenog štampanog betona na ravnom krovu je obračunata u predmeru i predračunu projekta uređenja terena.</t>
  </si>
  <si>
    <t>Napomena:  Završna obrada - sloj od livenog štampanog betona na nadzidku je obračunat u predmeru i predračunu uređenja terena.</t>
  </si>
  <si>
    <t>Nabavka materijala i izrada maske kanalizacionih vertikala. Radi se od  gips kartonskih ploča na podkonstrukciji:</t>
  </si>
  <si>
    <t xml:space="preserve"> -2xgips ploče 1,25cm=2,5cm</t>
  </si>
  <si>
    <t>- čelična pocinkovana potkonstrukcija d=5cm sa ispunom od ploča kamene vune  d=3cm, 40kg/m3</t>
  </si>
  <si>
    <t>U cenu ukalkulisati sav potreban materijal sa podkonstrukcijom, potrebna ojačanja za izradu otvora i revizionih otvora, bandažiranje i gletovanje spojeva i izradu radne skele. Za stabilnost pozicije odgovara izvođač.</t>
  </si>
  <si>
    <t>Ventilisana fasada od kompozitnh paneal tipa kao  ''Trespa Meteon'' ili odgovarajuće.</t>
  </si>
  <si>
    <t>Karakteristike materijala:
• Gustina: cca 1400 kg/m3 prema ISO R1183-87
• Postojanost boje na atmosferske uticaje. EBC postupkom ojačana dekorativna površina izdržava i posle  3000 sati Xenon 1200 testiranja (zračenje i kiša) i postiže vrednost od 4 - 5 na sivoj skali prema ISO 105 A02-87 (maks. sive skale = 5).
• Otpor na SO2 treba postići najmanju vrednost od 4 - 5 na sivoj skali,
(50 ciklusa; c 0,0067 %) prema DIN 50018 (maks. sive skale = 5).</t>
  </si>
  <si>
    <t>Kompozitni paneli postavljeni na potrebnoj podkonstrukciji sa termoizolacionim slojem, obračunatim u izolaterskim radovima. Ventilisana fasada, sastavljena od ploča na bazi termički obrađenih smola-melaminskih, u punom preseku ojačane drvenim vlaknima i presovane pod velikim pritiskom i temperaturom. Paneli su jednostrano ili dvostrano presvučeni integrisanom, dekorativnom površinom, na bazi pigmentisanih smola.</t>
  </si>
  <si>
    <t>Dekorativne, samonosive ploče, proizvedene na bazi termički obrađenih smola, /melaminskih/, u punom preseku ojačane drvnim vlaknima, /borovim iz Evropskih šuma/, i presovane pod visokim pritiskom (± 100 kg/cm2) i visokom temperaturom (1500 C). Uz upotrebu najmodernije tehnologije, paneli su jedno- ili dvo-strano prevučeni integrisanom, dekorativnom površinom, na bazi pigmentisanih smola. Površinska obrada ploča ne sadrži supstance na bazi akrila koje mogu biti topive.</t>
  </si>
  <si>
    <t>U cenu uračunati pripadajuću tipsku podkonstrukciju, dodatna ojačanja oko otvora, i sav potreban materijal za izradu fasade.</t>
  </si>
  <si>
    <t>Nabavka, transport i montaža ventilisane fasade - sokle. Oblaganje fasadne sokle se vrši pločama granitne keramike. Ploče se postavljaju preko potrebne podkonstrukcije d=16cm (u koju je smeštena termoizolacija d=12cm, posebno obračunata u izolaterskim radovima). Ploče granitne keramike se fiksiraju ankerisanjem specijalnim ankerima za ovu vrstu radova. Broj ankera po ploči odrediti prema dimenziji ploče. Podkonstrukcija se fiksira za fasadni zid, razmak i način fiksiranja podkonstrukcije prema proračunu izvođača radova. Za stabilnost obloge sa podkonstrukcijom odgovara Izvođač. Slog prema projektu.</t>
  </si>
  <si>
    <t xml:space="preserve">Granitna keramika, karakteristike: absorpcija vode E&lt;=0.1%, otpornost na abraziju &lt;150mm3, mrazootporna, kiselootporna (tipa kao Floorgres Chromtech cool 5.0 naturale mat-crna grafitna), dimenzije 30x60, 60x60cm. Keramika je postavljena na potrebnoj podkonstrukciji, sa predviđenim svim završnim komadima na mestima preloma površina. </t>
  </si>
  <si>
    <t>Fasada mora biti nivelisana (horizontalno i vertikalno) i u skladu sa tim uraditi - prilagoditi podkonstrukciju.</t>
  </si>
  <si>
    <t>Poziciju u potpunosti izvesti po projektu i detaljima Izvođača radova. Paneli moraju biti otporni na UV zračenja i atmosferske uticaje.</t>
  </si>
  <si>
    <t xml:space="preserve">bela boja – pure white A 05.0.0.(satin), </t>
  </si>
  <si>
    <t>siva -mid gray A 21.5.1.(satin),</t>
  </si>
  <si>
    <t>Oznaka u projektu FZ1, FZ2, FZ2a, Fz2b, FZ7</t>
  </si>
  <si>
    <t>grafit crna – black A 90.o.o.(rock) tipa kao Trespa</t>
  </si>
  <si>
    <t>Nabavka materijala i postavljanje termoizolacije na fasadnim zidovima -  ventilisana fasada -kompozitni paneli od melaminske ploče. Termoizolacija - ploče kamene vune d=12cm, 90kg/m3. U okviru pozicije postaviti i polietilensku foliju ka unutra a ka spolja postaviti paropropusnu, vodonepropusnu foliju.</t>
  </si>
  <si>
    <t>Nabavka materijala i postavljanje termoizolacije na fasadnim zidovima (kod žaluzina mašinska sala). Termoizolacija - ploče kamene vune d=12cm, 90kg/m3. U okviru pozicije postaviti i polietilensku foliju ka unutra a ka spolja postaviti paropropusnu, vodonepropusnu foliju.</t>
  </si>
  <si>
    <t>Nabavka materijala i postavljanje termoizolacije na fasadnim zidovima (površine koje se malterišu). Termoizolacija - ploče kamene vune d=12cm, 120kg/m3. U okviru pozicije postaviti i polietilensku foliju.</t>
  </si>
  <si>
    <t>Oznaka u projektu FZ9, FZ9a, detalj D.45</t>
  </si>
  <si>
    <t>Obračun po m², razvijene površine, komplet izvedene pozicije sa podkonstrukcijom i svim potrebnim pripremnim radovima i materijalom do potpune gotovosti u skladu sa opisom.</t>
  </si>
  <si>
    <t>U obračun količina je uračunata razvijena površina (dekorativnih elemenata, ispada , stubova i slično).</t>
  </si>
  <si>
    <r>
      <t>Nabavka materijala i izrada ventilisane fasade. od kompozitnih panela sa potrebnom pripadajućom podkonstrukcijom (</t>
    </r>
    <r>
      <rPr>
        <sz val="10"/>
        <rFont val="Calibri"/>
        <family val="2"/>
      </rPr>
      <t>~</t>
    </r>
    <r>
      <rPr>
        <sz val="10"/>
        <rFont val="Arial"/>
        <family val="2"/>
      </rPr>
      <t>17cm).</t>
    </r>
  </si>
  <si>
    <t>Napomena: Podkonstrukcija kod dekorativnih elemenata, ispada, stubova se razlikuje u odnosu na fasadni zid i treba ukalkulisati u cenu pozicije.</t>
  </si>
  <si>
    <t>Napomena termoizolacija i paropropusnafolija obračunate u izolaterskim radovima</t>
  </si>
  <si>
    <t xml:space="preserve">tipa „Alucobond“ ili ekvivalentno. </t>
  </si>
  <si>
    <t>Nabavka i izrada ventilisane fasade od aluminijumskih kompoztnih panela. Debljina panela d=4mm sastavljenog od dva aluminijska specijalno legirana lima d=0,5 mm i PVC ispune od 3mm.</t>
  </si>
  <si>
    <t>Tip boje PVDF otporna na ultravioletno zračenje, sjaj 35%. Podkonstrukcija od vučenih aluminijskih profila vezanih za zid preko čeličnih pocinkovanih ankera.</t>
  </si>
  <si>
    <r>
      <t xml:space="preserve">Tiplovi u skladu sa očekivanim opterećenjem. Oslanjanje panela na podkonstrukciju preko šrafova sa plastičnom cevčicom, koja sprečava pomeranje panela. Ponuđač je dužan da dostavi karakteristične detalje konstrukcije koju predlaže. Raditi u svemu po projektu i upustvu proizvođača. Podkonstrukcija </t>
    </r>
    <r>
      <rPr>
        <sz val="10"/>
        <rFont val="Calibri"/>
        <family val="2"/>
      </rPr>
      <t>~</t>
    </r>
    <r>
      <rPr>
        <sz val="10"/>
        <rFont val="Arial"/>
        <family val="2"/>
      </rPr>
      <t>18cm. U cenu uračunati podkonstrukciju i sve potrebne elemente.</t>
    </r>
  </si>
  <si>
    <t>U cenu ukalkulisati sve potrebne elemente, zaptivke, ojačanja oko otvora i slično</t>
  </si>
  <si>
    <t>Oznaka u projektu FZ10, FZ11, FZ11a</t>
  </si>
  <si>
    <t>siva boja- smoke silver alm 133</t>
  </si>
  <si>
    <t>grafitna boja- metalik black alm 143</t>
  </si>
  <si>
    <t>narandžasta boja- orange als 377</t>
  </si>
  <si>
    <t>zelena boja- natural green als 124</t>
  </si>
  <si>
    <t xml:space="preserve"> žuta boja- yellow als 117</t>
  </si>
  <si>
    <t>bordo boja- burgundy als 137</t>
  </si>
  <si>
    <t>d=6cm</t>
  </si>
  <si>
    <t>Nabavka materijala i postavljanje termoizolacije na fasadnim zidovima -  ventilisana fasada - aluminijumski kompozitni paneli . Termoizolacija - ploče kamene vune d=12cm, d=8cm i d=6cm, 90kg/m3. U okviru pozicije postaviti i polietilensku foliju ka unutra a ka spolja postaviti paropropusnu, vodonepropusnu foliju.</t>
  </si>
  <si>
    <t>d=8cm</t>
  </si>
  <si>
    <t>d=10cm, horizontalno, Detalj D.62</t>
  </si>
  <si>
    <t>d=5cm</t>
  </si>
  <si>
    <r>
      <t xml:space="preserve">d) Nastavni sadržaj; </t>
    </r>
    <r>
      <rPr>
        <sz val="10"/>
        <rFont val="Arial"/>
        <family val="2"/>
      </rPr>
      <t>Razvijena širina RŠ~100cm</t>
    </r>
  </si>
  <si>
    <t>m1</t>
  </si>
  <si>
    <r>
      <t xml:space="preserve">e) Nastavni sadržaj; </t>
    </r>
    <r>
      <rPr>
        <sz val="10"/>
        <rFont val="Arial"/>
        <family val="2"/>
      </rPr>
      <t>Razvijena širina RŠ~50cm (neprohodna terasa D.58)</t>
    </r>
  </si>
  <si>
    <r>
      <t xml:space="preserve">c) Istraživanje; </t>
    </r>
    <r>
      <rPr>
        <sz val="10"/>
        <rFont val="Arial"/>
        <family val="2"/>
      </rPr>
      <t>Razvijena širina RŠ~35cm, detalj 35</t>
    </r>
  </si>
  <si>
    <t>Obračun po m2 vertikalne projekcije.</t>
  </si>
  <si>
    <t>Montaža i demontaža fasadne cevne skele sa platformama i zaštitnim ogradama u svemu prema važećim propisima HTZ. Izvođač je dužan da prethodno izradi statički proračun skele, kao i proračun uzemljenja i garantuje za njenu stabilnost. Izvođač je dužan da pre izrade projekta i proračuna prikupi podatke od budućih korisnika skele o potrebama i uslovima koje skela treba da zadovolji.</t>
  </si>
  <si>
    <t>Malterisanje plafona u stepenišnom prostoru (podesta, međupodesta, kosih stepenišnih ploča i bočnih strana stepenišnih krakova). Malterisati  produžnim malterom 1:3:9 u dva sloja d=2cm. Preko podloge nabacati cementni špric. Prvi sloj, grunt, raditi produžnim malterom od prosejanog šljunka, „jedinice“. Podlogu pokvasiti, naneti prvi sloj maltera i narezati ga.</t>
  </si>
  <si>
    <t>Drugi sloj spraviti sa sitnim čistim peskom, bez primesa mulja i organskih materija i naneti preko prvog sloja. Perdašiti uz kvašenje i glačanje malim perdaškama. Površine moraju biti ravne, bez preloma i talasa. Malter kvasiti da ne dođe do brzog sušenja i „pregorevanja“. U cenu ulazi i pomoćna skela. Obračun po m2.</t>
  </si>
  <si>
    <t>gips plafon d=1x1,25cm</t>
  </si>
  <si>
    <t>Nabavka i montaža  spuštenog monolitnog  plafona od gipskartonskih ploča.Obešena obloga plafona sa horizontalnim neprekinutim podgledom, sa prekrivenom potkonstrukcijom od pocinkovanih čeličnih profila (CD 60/27) kao montažni i noseći profili, ovešani  visilicama za čeličnu potkonstrukciju odgovarajućim učvrsnim sredstvima. Obloga od jednog sloja  standardnih ploča, d=1x12.5mm i obloga od dva sloja gips kartonskih ploča d=2x1,25cm + ploče mineralne vune. Spoj plafona sa zidom izvesti sa razdelnom trakom . Obrada i ispuna  spojeva GK ploča u kvalitetu Q2, sa upotrebom bandaž trake od staklenih vlakana.   Pozicija obuhvata bandažiranje spojeva i pripremu za molersko - farbarske radove. Raditi u svemu po projektu i uputstvu proizvođača. Ploče se montiraju i ukrajaju prema projektu.</t>
  </si>
  <si>
    <t>gips plafon d=2x1,25cm + ploče kamene vune d=8cm, gustine 40kg/m3</t>
  </si>
  <si>
    <t>podrum h=3,0m; prostorija magnetne rezonance</t>
  </si>
  <si>
    <t>Spušteni plafon tipa ''Thermatex Acoustic, sistem C''ili odgovarajuće</t>
  </si>
  <si>
    <t>podrum h=3,0m, visina spuštanja; prostorija magnetne rezonance</t>
  </si>
  <si>
    <t>Nabavka i montaža akustičnog spuštenog plafona od mineralnih ploča (u prostoriji magnetne rezonance - istraživanje) presvučenih apsorpcionim voalom u beloj boji, dimenzije ploča su 600x600mm, debljina 19mm.
Glatke plafonske ploče ravnih (SK) ivica, polažu se u čeličnu potkonstrukciju širine 24mm, obodni profil je 19x24mm. Potkonstrukcija je u beloj boji, slična RAL 9010. Ploče ispunjavaju prosečnu apsorpciju zvuka αw=0,65H prema EN ISO 11654 (NRC=0,70). 
Zvučna izolacija plafona iznosi Dn,c,w = 38 dB prema EN 20140-9. Ploče su otporne na relativnu vlažnost vazduha do 95%. Ploče imaju domaći atest za negorivost prema JUS ISO 1182. 
Refleksija svetlosti oko 85% (važi za ploče u beloj boji, sličnoj RAL 9010). Plafon poseduje sertifikat niskoemisionih materijala Blue Angel.</t>
  </si>
  <si>
    <t>Nabavka i montaža  spuštenih plafona u prostoriji ''Amfiteatar'' (sa oznakom N0.7, prizemlje - Nastavni sadržaj). Spušteni plafon je u kombinaciji od akustičnih mineralnih ploča i venca od gips kartonskih ploča.</t>
  </si>
  <si>
    <t xml:space="preserve"> Spušteni plafoni tipa kao ''Thermatex Acoustic, sistem C'' ili odgovarajuće.</t>
  </si>
  <si>
    <t>Nabavka i montaža akustičnog spuštenog plafona od mineralnih ploča presvučenih apsorpcionim voalom u beloj boji, dimenzije ploča su 600x600 mm, debljina 19mm, u kombinaciji sa obodnim vencem od gipskartonskih ploča širine prema crtežu.
Glatke plafonske ploče upuštenih (VT) ivica, polažu se u čeličnu potkonstrukciju širine 24mm, prelazni profil na venac od gipskartonskih ploča izvesti plafonskim T24 profilom u ravni. Potkonstrukcija je u beloj boji, slična RAL 9010. 
Ploče ispunjavaju prosečnu apsorpciju zvuka αw=0,65H prema EN ISO 11654 (NRC=0,70). Zvučna izolacija plafona iznosi Dn,c,w = 38dB prema EN 20140-9. Ploče su otporne na relativnu vlažnost vazduha do 95%. Ploče imaju domaći atest za negorivost prema JUS ISO 1182. Plafon poseduje sertifikat niskoemisionih materijala Blue Angel.
Ugradnja je u svemu prema uputstvu proizvođača.</t>
  </si>
  <si>
    <t>Raditi u svemu po projektu i uputstvu proizvođača.</t>
  </si>
  <si>
    <t>Nabavka i montaža venca od gipskartonskih ploča debljine d=12,5mm na potkonstrukciji od UD 60x30x0,6 i CD 60x27x0,6mm. Prelaz na raster plafon pomoću prelaznog T24 profila u ravni. Pozicija obuhvata bandažiranje spojeva, sve pripremljeno za molersko-farbarske radove.</t>
  </si>
  <si>
    <t>Nastavni sadržaj - amfiteatar</t>
  </si>
  <si>
    <t>Spušteni plafon tipa kao ''AMF Symetra Metal, sistem A - Clipin''. ili odgovarajuće.</t>
  </si>
  <si>
    <t>Nabavka i montaža spuštenog plafona od plastificiranih aluminijumskih ploča, u skrivenoj potkonstrukciji za spoljašnje uslove (tremovi, erkeri...).  Mrežni raster ploča je 600x600mm, debljina ploča 0,6mm. Metalne ploče su glatke, boje po projektu. Ivice ploča su oborene.
Plafon zadovoljava evropske TAIM normative za izradu metalnih proizvoda.
Ploče su u klasi negorivih građevinskih materijala A2-s1, d0 prema SRPS EN 13501-1.</t>
  </si>
  <si>
    <t>U cenu ukalkulisati sav potreban materijal sa podkonstrukcijom, potrebna ojačanja za izradu otvora i revizionih otvora i izradu radne skele. Za stabilnost pozicije odgovara izvođač.</t>
  </si>
  <si>
    <t>Nabavka materijala i izrada akustične obloge u amfiteatru na zidu (na mestu predviđenom projektom)</t>
  </si>
  <si>
    <t>Nastavni sadržaj - Amfiteatar - prizemlje</t>
  </si>
  <si>
    <t>Zidna obloga tipa ''AMF Heradesign Superfine, sistem B'' ili odgovarajuće</t>
  </si>
  <si>
    <t>Zidna obloga se postavlja na visini počev od 1,5m od završnog poda sve do kote spuštenog plafona. Sve završne i prelazne ivice (oko otvora) obraditi drvenom ili gipskartonskom zaključnom lajsnom.
Zvučna apsorpcija zidne obloge iznosi  α w = 0,65H. Ploče su otporne na relativnu vlažnost vazduha do 95% i spadaju u klasu teško zapaljivih građevinskih materijala B-s1,d0 u skladu sa SRPS EN 13501-1.
Materijal mora da poseduje sertifikat niskoemisionih materijala plavi anđeo.</t>
  </si>
  <si>
    <t>Nabavka i ugradnja zidne obloge zadnjeg zida od magnezitom povezanih drvenih vlakana. Ploče u natur boji drveta, dimenzije ploča su 600 x 1200mm, debljine 25mm. Potkonstrukciju čine pocinkovani CD 27x60x27x0,6mm profili na rastojanju od 30-60cm. CD profili su distancerima pričvršćeni na primarnu zidnu konstrukciju. Na CD profile se pričvršćuju ploče Heradesign šrafovima u boji ploče 4,5x50mm. Potkonstrukcija je skrivena. Između zidne obloge i zida postaviti sloj mineralne vune d=3cm.</t>
  </si>
  <si>
    <t>Spušteni plafon tipa kao ''AMF Schlicht Hygena, sistem C'' ili odgovarajuće.</t>
  </si>
  <si>
    <t>Nabavka i montaža spuštenog plafona od mineralnih ploča sa antibaktericidnom završnom obradom. Dimenzije ploča su 600x600mm, debljina 15mm. Plafonske ploče ravnih (SK) ivica polažu se u belu čeličnu potkonstrukciju širine 24mm.
Plafonske ploče su fabrički bojene antibaktericidnom bojom koja sprečava razvoj bakterija i gljiva po površini plafona.
Plafon zadovoljava klasu čistoće ISO 4. Ploče su otporne na relativnu vlažnost vazduha do 95% i imaju domaći atest za negorivost prema JUS ISO 1182. Refleksija svetlosti oko 88%.  
Plafon poseduje sertifikat niskoemisionih materijala Blue Angel.
U jediničnu cenu je uključen ravni ivični ugaoni profili 19x24 mm (0,6 m´/m²) za oslanjanje ivičnih ploča.</t>
  </si>
  <si>
    <t>(visina od gotovog poda h=3,5m; visina spuštanja h=1,2m)</t>
  </si>
  <si>
    <t>b) Stomatologija i Uprava</t>
  </si>
  <si>
    <t>Istraživanje - Laboratorije ( prostorije sa oznakom I0.25, I0.26; I0.27)</t>
  </si>
  <si>
    <t>plafon ispod prostorije A1.07 kompresor.</t>
  </si>
  <si>
    <t>oznaka šeme u krugu</t>
  </si>
  <si>
    <t xml:space="preserve">Izrada i montaža punih jednokrilnih  duplošperovanih vrata sa ispunom od lamelnih daščica  sa štokom od masivnog drveta .
Sve se boji  poliuretanskim bojama sa predhodnim pripremnim radnjama.
Vrata su opremljena odgovarajućim okovom i cilinder bravom za zaključavanje.
</t>
  </si>
  <si>
    <t xml:space="preserve">Unutar vrata, pri dnu predvideti 5 rupa ∅ 40mm za potrebu obezbeđenja strujanja vazduha.
Vrata se ugrađuju u zid od gips kartonskih ploča 12cm.Raditi u svemu prema priloženoj šemi i detalju proizvođača.
</t>
  </si>
  <si>
    <t>Obračun po kom finalno obrađeno i ugrađeno</t>
  </si>
  <si>
    <t>kom</t>
  </si>
  <si>
    <t xml:space="preserve">Izrada i montaža punih jednokrilnih i dvokrilnih  duplošperovanih vrata sa ispunom od lamelnih daščica  sa štokom od masivnog drveta .
Sve se boji  poliuretanskim bojama sa predhodnim pripremnim radnjama.
</t>
  </si>
  <si>
    <t xml:space="preserve">Vrata su opremljena odgovarajućim okovom i cilinder bravom za zaključavanje.
Raditi u svemu prema priloženoj šemi i detalju proizvođača.
Vrata se ugrađuju u zid od gips kartonskih ploča 15cm i giter bloka d=20 cm
</t>
  </si>
  <si>
    <t>gips kartonske ploče d=15cm.</t>
  </si>
  <si>
    <t>giter blok d=20cm.</t>
  </si>
  <si>
    <t xml:space="preserve">Izrada i montaža punih jednokrilnih i dvokrilnih   duplošperovanih vrata sa melaminskom folijom, ispunom od lamelnih daščica i čeličnim štokom .
Sve se boji  poliuretanskim bojama sa predhodnim pripremnim radnjama.
</t>
  </si>
  <si>
    <t xml:space="preserve">Čelični štok je u boji RAL 7043, krilo vrata RAL 7042.
Vrata su opremljena odgovarajućim okovom i cilinder bravom za zaključavanje.Raditi u svemu prema priloženoj šemi i detalju proizvođača.
</t>
  </si>
  <si>
    <r>
      <t xml:space="preserve">NAPOMENA:
</t>
    </r>
    <r>
      <rPr>
        <sz val="10"/>
        <rFont val="Arial"/>
        <family val="2"/>
      </rPr>
      <t xml:space="preserve">Sve mere proveriti na licu mesta. Dimenzije otvora su date u zidarskim merama. U svemu prema opštem opisu, 
predmeru radova, šemi, izvođačkim detaljima i važećim propisima i standardima. Izvođač je dužan da sve detalje 
usaglasi i overi kod projektanta, kao i da podnese odgovarajuće sigurnosne ateste i sertifikate o kavlitetu.
</t>
    </r>
  </si>
  <si>
    <r>
      <t xml:space="preserve">Zidarska mera 90/215 cm oznaka šeme </t>
    </r>
    <r>
      <rPr>
        <b/>
        <sz val="10"/>
        <rFont val="Arial"/>
        <family val="2"/>
      </rPr>
      <t>1</t>
    </r>
  </si>
  <si>
    <r>
      <t xml:space="preserve">Zidarska mera     90/215 cm oznaka šeme   </t>
    </r>
    <r>
      <rPr>
        <b/>
        <sz val="10"/>
        <rFont val="Arial"/>
        <family val="2"/>
      </rPr>
      <t>2</t>
    </r>
  </si>
  <si>
    <r>
      <t xml:space="preserve">Zidarska mera   120/215 cm oznaka šeme   </t>
    </r>
    <r>
      <rPr>
        <b/>
        <sz val="10"/>
        <rFont val="Arial"/>
        <family val="2"/>
      </rPr>
      <t>3</t>
    </r>
  </si>
  <si>
    <r>
      <t xml:space="preserve">Zidarska mera   160/215 cm oznaka šeme   </t>
    </r>
    <r>
      <rPr>
        <b/>
        <sz val="10"/>
        <rFont val="Arial"/>
        <family val="2"/>
      </rPr>
      <t>5</t>
    </r>
  </si>
  <si>
    <r>
      <t xml:space="preserve">Zidarska mera    120/215 cm oznaka šeme </t>
    </r>
    <r>
      <rPr>
        <b/>
        <sz val="10"/>
        <rFont val="Arial"/>
        <family val="2"/>
      </rPr>
      <t>4</t>
    </r>
  </si>
  <si>
    <r>
      <t xml:space="preserve">Zidarska mera    110/215 cm oznaka šeme </t>
    </r>
    <r>
      <rPr>
        <b/>
        <sz val="10"/>
        <rFont val="Arial"/>
        <family val="2"/>
      </rPr>
      <t>6</t>
    </r>
  </si>
  <si>
    <r>
      <t xml:space="preserve">Zidarska mera   90/215 cm oznaka šeme   </t>
    </r>
    <r>
      <rPr>
        <b/>
        <sz val="10"/>
        <rFont val="Arial"/>
        <family val="2"/>
      </rPr>
      <t>2</t>
    </r>
    <r>
      <rPr>
        <b/>
        <sz val="10"/>
        <rFont val="Vrinda"/>
        <family val="2"/>
      </rPr>
      <t>'</t>
    </r>
  </si>
  <si>
    <r>
      <t xml:space="preserve">Zidarska mera 120/215 cm oznaka šeme   </t>
    </r>
    <r>
      <rPr>
        <b/>
        <sz val="10"/>
        <rFont val="Arial"/>
        <family val="2"/>
      </rPr>
      <t>3</t>
    </r>
    <r>
      <rPr>
        <b/>
        <sz val="10"/>
        <rFont val="Vrinda"/>
        <family val="2"/>
      </rPr>
      <t>'</t>
    </r>
  </si>
  <si>
    <r>
      <t xml:space="preserve">Zidarska mera 100/215 cm oznaka šeme   </t>
    </r>
    <r>
      <rPr>
        <b/>
        <sz val="10"/>
        <rFont val="Arial"/>
        <family val="2"/>
      </rPr>
      <t>7</t>
    </r>
  </si>
  <si>
    <r>
      <t xml:space="preserve">Zidarska mera 160/215 cm oznaka šeme   </t>
    </r>
    <r>
      <rPr>
        <b/>
        <sz val="10"/>
        <rFont val="Arial"/>
        <family val="2"/>
      </rPr>
      <t>5</t>
    </r>
    <r>
      <rPr>
        <b/>
        <sz val="10"/>
        <rFont val="Vrinda"/>
        <family val="2"/>
      </rPr>
      <t>'</t>
    </r>
  </si>
  <si>
    <t>UNUTRAŠNJA ALUMINARIJA</t>
  </si>
  <si>
    <t>oznaka u rombu</t>
  </si>
  <si>
    <t xml:space="preserve">Izrada i montaža punih jednokrilnih vrata od eloksiranih al. profila obostrano obložena ravnim eloksiranim al. limom, sa termo ispunom.
Vrata izvesti sa svim potrebnim okovima, dihtunzima, šarkama, odbojnicima, bravom i mehanizmom za samozatvaranje, cilindrom za zaključavanje. Okov mora biti kompletan, kvalitetan i antikorozivno zaštićen.
</t>
  </si>
  <si>
    <t xml:space="preserve">Izrada i montaža zastakljenih vrata od eloksiranih al. profila u prirodnoj boji aluminijuma - silver mat RAL 9007.
Unutar vrata, pri dnu predvideti 5 rupa ∅ 40mm za potrebu obezbeđenja strujanja vazduha. Raditi u svemu prema priloženoj šemi i detalju proizvođača.
</t>
  </si>
  <si>
    <t>gips kartonske ploče d=12cm</t>
  </si>
  <si>
    <t xml:space="preserve">c) </t>
  </si>
  <si>
    <t>Nastavni sadržaji</t>
  </si>
  <si>
    <t>gips kartonske ploče d=15cm</t>
  </si>
  <si>
    <t>giter blok d=20cm</t>
  </si>
  <si>
    <t xml:space="preserve">Vrata izvesti sa svim potrebnim okovima, dihtunzima, šarkama, odbojnicima, bravom i mehanizmom za samozatvaranje, cilindrom za zaključavanje.. Raditi u svemu prema priloženoj šemi i detalju proizvođača.
</t>
  </si>
  <si>
    <t>vrata sa zaštitom od rendgenskog zračenja</t>
  </si>
  <si>
    <t xml:space="preserve">Izrada i montaža punih jednokrilnih vrata (zaštita od rendgenskog zračenja), od eloksiranih al. profila obostrano obložena ravnim eloksiranim al. limom, sa termo ispunom. Vrata snabdeti potrebnom dimenzijom olovnog lima u svrhu zaštitne barijere, tj. zaštite od rendgenskog zračenja.
Vrata izvesti sa svim potrebnim okovima, dihtunzima, šarkama, odbojnicima, bravom i mehanizmom za samozatvaranje, cilindrom za zaključavanje. 
</t>
  </si>
  <si>
    <t xml:space="preserve">Vrata su od eloksiranih al. profila u prirodnoj boji aluminijuma - silver mat RAL 9007.
Okov mora biti kompletan, kvalitetan i antikorozivno i rendgenski zaštićen.
</t>
  </si>
  <si>
    <t xml:space="preserve">Obavezno obezbediti  potrebni  atest o trošku izvođača radova.
Sve ostalo raditi prema šemi i merama uzetim na licu mesta.
Sve raditi u skladu sa Projektom mera radijacione sigurnosti i bezbednosti i upustvom od proizvodjača opreme.
</t>
  </si>
  <si>
    <t>prozor sa zaštitom od rendgenskog zračenja</t>
  </si>
  <si>
    <t xml:space="preserve">Fiksni zastakljeni AL prozor u ramu od aluminijumskih profila, sa adekvatnom zvučnom ispunom. Prozor je  bez prekida hladnog mosta ugradjuje se prema detalju u ramu od AL profila. Prozor se ugrađuje po metodi suve montaže.  
Prozor je fiksni zastakljen providnim, specijalnim, sigurnosnim pampleks staklom 4.1.4.. Zastakljenje izvesti gumenim zaptivkama.  Donja ivica prozora pregrade u odnosu na gotov pod, treba da je izdignuta za h=100cm, i  naleže na zid od gips kartonskih ploča  preko dihtung trake. Prozor snabdeti potrebnom dimenzijom olovnog lima u svrhu zaštitne barijere, tj. zaštite od rendgenskog zračenja.
</t>
  </si>
  <si>
    <t xml:space="preserve">Prozor je od eloksiranih al. profila u prirodnoj boji aluminijuma - silver mat RAL 9007.
Opšiv  prozora, raditi od al. vučenih profila i lima - u istoj boji. Po celom obimu naleganja pregrade na opšiv ugraditi kvalitetnu gumenu  dihtung traku prema izboru autora. 
</t>
  </si>
  <si>
    <t>unutrašnji prozori</t>
  </si>
  <si>
    <t xml:space="preserve">Prozor je od eloksiranih al. profila u prirodnoj boji aluminijuma - silver mat RAL 9007.
Opšiv  prozora, raditi od al. vučenih profila i lima - u istoj boji. Po celom obimu naleganja pregrade na opšiv ugraditi kvalitetnu gumenu  dihtung traku prema izboru autora. Raditi u svemu prema priloženoj šemi i detalju proizvođača. 
</t>
  </si>
  <si>
    <t xml:space="preserve">Otvarajući zastakljeni AL prozor u ramu od aluminijumskih profila, sa adekvatnom zvučnom ispunom. Prozor je  bez prekida hladnog mosta ugradjuje se prema detalju u ramu od AL profila. Prozor se ugrađuje po metodi suve montaže.  
Prozor je otvarajući, zastakljen providnim, specijalnim, sigurnosnim pampleks staklom 4.1.4.. Zastakljenje izvesti gumenim zaptivkama. </t>
  </si>
  <si>
    <t xml:space="preserve">Donja ivica prozora pregrade u odnosu na gotov pod, treba da je izdignuta za h=100cm, i  naleže na zid od gips kartonskih ploča  preko dihtung trake. 
Prozor je od eloksiranih al. profila u prirodnoj boji aluminijuma - silver mat RAL 9007.
Opšiv  prozora, raditi od al. vučenih profila i lima - u istoj boji. Po celom obimu naleganja pregrade na opšiv ugraditi kvalitetnu gumenu  dihtung traku prema izboru autora. 
Otvaranje: Prema šemi, prozor opremiti potrebnim okovom.
</t>
  </si>
  <si>
    <t xml:space="preserve">Raditi u svemu prema priloženoj šemi i detalju proizvođača. 
</t>
  </si>
  <si>
    <t>pregrade</t>
  </si>
  <si>
    <t>Izrada i montaža zastakljene pregrade sa vratima od eloksiranih al. profila obostrano obložena ravnim eloksiranim al. limom, sa termo ispunom.
Pregrada je zastakljena jednostrukim sigurnosnim staklom debljine 8 mm sa soklom 10cm.
Vrata izvesti sa svim potrebnim okovima, dihtunzima, šarkama, odbojnicima, bravom i mehanizmom za samozatvaranje, cilindrom za zaključavanje. Okov mora biti kompletan i  kvalitetan.</t>
  </si>
  <si>
    <t>U jediničnu cenu uračunati i ugrađivanje odgovarajućeg slepog štoka od kutijastih profila. Isporuka sa pripadajućim okovima.
Izrada i montaža pregrade od eloksiranih al. profila u prirodnoj boji aluminijuma - silver mat RAL 9007.
Pregrade se fiksiraju šrafljenjem u finalno obrađen pod i plafon. Raditi u svemu prema priloženoj šemi i detalju proizvođača.</t>
  </si>
  <si>
    <t>sa dvokrilnim vratima</t>
  </si>
  <si>
    <t>sa jednokrilnim vratima</t>
  </si>
  <si>
    <t>21)</t>
  </si>
  <si>
    <t>22)</t>
  </si>
  <si>
    <t xml:space="preserve">Izrada i montaža zastakljene fiksne pregrade od eloksiranih al. profila obostrano obložena ravnim eloksiranim al. limom, sa termo ispunom.
Pregrada je zastakljena jednostrukim sigurnosnim staklom debljine 8 mm sa soklom 10cm.
Okov mora biti kompletan, kvalitetan i antikorozivno zaštićen.U jediničnu cenu uračunati i ugrađivanje odgovarajućeg slepog štoka od kutijastih profila. Isporuka sa pripadajućim okovima.
</t>
  </si>
  <si>
    <t>Pregrada je od eloksiranih al. profila u prirodnoj boji aluminijuma - silver mat RAL 9007.
Pregrade se fiksiraju šrafljenjem u finalno obrađen pod i plafon. Raditi u svemu prema priloženoj šemi i detalju proizvođača.</t>
  </si>
  <si>
    <t>vrata i pregrade sa kontrolom pristupa</t>
  </si>
  <si>
    <t xml:space="preserve">Izrada i montaža zastakljene pregrade od eloksiranih al. profila obostrano obložena ravnim eloksiranim al. limom, sa termo ispunom.
Pregrada je zastakljena jednostrukim sigurnosnim staklom debljine 8 mm sa soklom 10cm.
Vrata izvesti sa svim potrebnim okovima, dihtunzima, šarkama, odbojnicima, bravom i mehanizmom za samozatvaranje, cilindrom za zaključavanje. Okov mora biti kompletan, kvalitetan i antikorozivno zaštićen.
</t>
  </si>
  <si>
    <t>Raditi u svemu prema priloženoj šemi i detalju proizvođača.</t>
  </si>
  <si>
    <t>maska za hidrant</t>
  </si>
  <si>
    <t>FASADNA ALUMINARIJA</t>
  </si>
  <si>
    <t>oznaka u šestouglu</t>
  </si>
  <si>
    <t xml:space="preserve">Oblik, boja i materijal vidnih delova okova po katalogu proizvođača i izboru projektanta. 
</t>
  </si>
  <si>
    <t xml:space="preserve">Raditi u svemu prema detalju proizvođača i prema šemi. 
</t>
  </si>
  <si>
    <t xml:space="preserve">Izrada i montaža fasadnih punih  vrata:
U fasadnu konstrukciju se ugrađuju dvokrilna vrata, sa termičkim prekidom.    
Površinska obrada profila: Eloksaža u sloju od min 20μm u tonu crne-grafitne (E 5). Oblik, boja i materijal vidnih delova okova po katalogu proizvođača i izboru projektanta. 
</t>
  </si>
  <si>
    <t xml:space="preserve">Plot vrata: U štoku od aluminijumskih profila se ugrađuju dvokrilna vrata sa ispunom i kvalitetnom EPDM dihtung gumom. Potrebno je uraditi masku za vrata od melaminskih ploča u svemu isto po fasadi (materijalizacija i boja)
</t>
  </si>
  <si>
    <t>Rukohvat: usvojiti model od proizvođača vrata uz saglasnost projektanta .</t>
  </si>
  <si>
    <t xml:space="preserve">AB zid od 20 cm. </t>
  </si>
  <si>
    <t xml:space="preserve">giter zid od 20 cm. </t>
  </si>
  <si>
    <t xml:space="preserve">Izrada i montaža fasadne pregrade sa prozorom :
U fasadnu konstrukciju se ugrađuje fasadna pregrada u ramu od aluminjumskih profila sa termičkim prekidom. 
</t>
  </si>
  <si>
    <t>Površinska obrada profila: Eloksaža u sloju od min 20μm u tonu crne-grafitne (E 5). Svi čelični delovi konstrukcije treba da su toplo cinkovani (klasa antiko-rozivne zaštite C3), a vidni delovi bojeni bojom name-njenom za nanošenje na bojene metale u tonu E 5.</t>
  </si>
  <si>
    <t xml:space="preserve">Oblik, boja i materijal vidnih delova okova po katalogu proizvođača i izboru projektanta. 
Spoljašnji solbanici su od eloksiranog aluminijumskog lima u tonu.  
Otvaranje: Prozor opremiti odgovarajućim okovom za otvaranje ručicom-"na ventus", prema šemi.
Pregrada treba da zadovolji traženi koeficijent prolaza toplote Uw&lt;1,2W/m2K i faktorom propustljivosti sunčevog zračenja g=0,35.
</t>
  </si>
  <si>
    <t xml:space="preserve">Površinska obrada profila: Eloksaža u sloju od min 20μm u tonu crne-grafitne (E 5). Svi čelični delovi konstrukcije treba da su toplo cinkovani (klasa antikorozivne zaštite C3), a vidni delovi bojeni bojom namenjenom za nanošenje na bojene metale u tonu  E 5.
</t>
  </si>
  <si>
    <t xml:space="preserve">Oblik, boja i materijal vidnih delova okova po katalogu proizvođača i izboru projektanta. 
Spoljašnji solbanici su od eloksiranog aluminijumskog lima u tonu.  
Otvaranje: Prozor opremiti odgovarajućim okovom sa okretno/nagibnim otvaranjem, prema šemi.
Pregrada treba da zadovolji traženi koeficijent prolaza toplote Uw&lt;1,2W/m2K i faktorom propustljivosti sunčevog zračenja g=0,35.
</t>
  </si>
  <si>
    <t xml:space="preserve">Izrada i montaža fasadne zastakljene  pregrade :
U fasadnu konstrukciju se ugrađuje fasadna pregrada u ramu od aluminjumskih profila sa termičkim prekidom. Površinska obrada profila:                          Eloksaža u sloju od min 20μm u tonu crne-grafitne (E 5). Svi čelični delovi konstrukcije treba da su toplo cinkovani (klasa antikorozivne zaštite C3), a vidni delovi bojeni bojom namenjenom za nanošenje na bojene metale u tonu E 5.
</t>
  </si>
  <si>
    <t xml:space="preserve">Unutar pregrade, na unutrašnjoj strani fasade ugrađuje se element zaštite od sunca unutrašnji "screen" zastor sa manuelnim pokretanjem ispred gornjeg profila aluminarije. Zastor se sastoji iz mehanizma i "fiberglass" platna. </t>
  </si>
  <si>
    <t xml:space="preserve">Kretanje platna je okretno oko navojne ekstrudirane aluminijumske cevi legure 6060-T66-EN755, poprečnog preseka ∅50mm i debljine zida od 1.6mm i podizno-spuštajuće, sa početnom alunijumskom lajsnom, pravougaonog poprečnog preseka dim 13x13mm (WxH) 390gr/m zatvoren sa dizajniranim PVC poklopcima. </t>
  </si>
  <si>
    <t xml:space="preserve">Dimenzije i težina lajsne obezbeđuje idealnu zategnutost platna pri podizanju i spuštanju. Lajsna je u završnpj obradi po izboru projektanta.  Aluminijumska navojna cev se uz pomoc metalnih držača montira na plafon, zid, fasadni profil. metalmi držači zastora sadrže dizajnira PVC poklopce i integrisan mehanizam za nivelisanje kojim preko navojne veze vrsi podešavanje (+/- 4mm) centralne ose po visini. 
</t>
  </si>
  <si>
    <t>Obračun po kom finalno obrađeno i ugrađeno zajedno sa screenovima.</t>
  </si>
  <si>
    <t>ugaona pregrada F12a+F12+F12b</t>
  </si>
  <si>
    <t>ugaona pregrada F13a+F13+F13b</t>
  </si>
  <si>
    <t>Kretanje platna je okretno oko navojne ekstrudirane aluminijumske cevi legure 6060-T66-EN755, poprečnog preseka ∅50mm i debljine zida od 1.6mm i podizno-spuštajuće, sa početnom alunijumskom lajsnom, pravougaonog poprečnog preseka dim 13x13mm (WxH) 390gr/m zatvoren sa dizajniranim PVC poklopcima</t>
  </si>
  <si>
    <t xml:space="preserve"> Dimenzije i težina lajsne obezbeđuje idealnu zategnutost platna pri podizanju i spuštanju. Lajsna je u završnpj obradi po izboru projektanta. Aluminijumska navojna cev se uz pomoc metalnih držača montira na plafon, zid, fasadni profil. metalmi držači zastora sadrže dizajnira PVC poklopce i integrisan mehanizam za nivelisanje kojim preko navojne veze vrsi podešavanje (+/- 4mm) centralne ose po visini. 
</t>
  </si>
  <si>
    <t>Obračun po kom finalno obrađeno i ugrađeno zajedno sa screenovima i elektromotorom.</t>
  </si>
  <si>
    <t xml:space="preserve">Izrada i montaža kliznih žaluzina :
Na fasadnu konstrukciju se montiraju klizne žaluzine.
</t>
  </si>
  <si>
    <t>Obračun po kom finalno obrađeno</t>
  </si>
  <si>
    <t>Izrada i montaža fasadne pregrade sa vratima:
U fasadnu konstrukciju se ugrađuje fasadna pregrada sa vratima u ramu od aluminjumskih profila sa termičkim prekidom. Površinska obrada profila: Eloksaža u sloju od min 20μm u tonu crne-grafitne       (E 5). Svi čelični delovi konstrukcije treba da su toplo cinkovani (klasa antikorozivne zaštite C3), a vidni delovi bojeni bojom namenjenom za nanošenje na bojene metale u tonu E 5.</t>
  </si>
  <si>
    <t xml:space="preserve">Pregrada treba da zadovolji traženi koeficijent prolaza toplote Uw&lt;1,2W/m2K i faktorom propustljivosti sunčevog zračenja g=0,35.
Oblik, boja i materijal vidnih delova okova po katalogu proizvođača i izboru projektanta.
</t>
  </si>
  <si>
    <t xml:space="preserve">Oblik, boja i materijal vidnih delova okova po katalogu proizvođača i izboru projektanta. 
Spoljašnji solbanici su od eloksiranog aluminijumskog lima u tonu  
</t>
  </si>
  <si>
    <t xml:space="preserve">Plot vrata: U štoku od aluminijumskih profila se ugrađuju dvokrilna vrata sa ispunom i kvalitetnom EPDM dihtung gumom 
Vrata se ugrađuju u zid giter bloka od 19 cm.
Vrata su snabdevena potrebnim okovom od eloksiranog aluminijuma, odgovarajućim šarkama (3 šarke po krilu), ukopavajućom cilindar  bravom sa 3 ključa plus master ključ. 
Rukohvat: usvojiti model od proizvođača vrata uz saglasnost projektanta 
</t>
  </si>
  <si>
    <t>fiksni brisoleji</t>
  </si>
  <si>
    <t xml:space="preserve">Nabavka i montaža aluminijumskih brisoleja, kutijaskog profila dimenzije 100/200mm visine 4m. Nosači brisoleja se fiksiraju za horizontalne čelične profile ili ab horizontalne nosače. 
Površinska obrada profila: Svi aluminijumski delovi konstrukcije se eloksiraju u sloju od min 20μm u tonu crne-grafitne (E 5). 
</t>
  </si>
  <si>
    <t xml:space="preserve"> BRAVARIJA</t>
  </si>
  <si>
    <t>PP vrata</t>
  </si>
  <si>
    <t>oznaka u kvadratu</t>
  </si>
  <si>
    <t xml:space="preserve">Zidarska mera 100/215 cm oznaka šeme  1a                  Vrata treba da zadovolji traženi koeficijent prolaza toplote Uw&lt;1,6W/m2K.
</t>
  </si>
  <si>
    <t>PP pregrade i vrata sa kartičnom kontrolom</t>
  </si>
  <si>
    <t>Protivdimna vrata</t>
  </si>
  <si>
    <t>Al montažne sanitarne pregrade</t>
  </si>
  <si>
    <t>Fiksne pregrade sa  jednokrilnim vratima izrađene su od plastificiranih aluminijumskih profila za izradu kabina toaleta. Pregrade i vrata su podignuti od poda za 10cm.  Kabine izdeliti pregradama dimenzija 150 ili (160;161;165;166;168 i 200)/210cm.</t>
  </si>
  <si>
    <t>Pregrade su izradjene od 14mm debelog stratifikovanog HP laminata sa uglačanim krajevima i zaobljenim ivicama, u svemu prema šemi i detaljima iz projekta. Vrata su opremljena odgovarajućim okovom za vešanje kao i specijalnom bravom za zatvaranje iz kabine sa indikatorom zauzetosti. Pregrade se na gradilište donose finalno obradjene i ugradjuju se ankerovanjem u zid i pod.</t>
  </si>
  <si>
    <t>ograde</t>
  </si>
  <si>
    <t>Raditi u svemu prema priloženoj šemi i detalju projektanta.</t>
  </si>
  <si>
    <t>Obračun po m1 finalno obrađeno i ugrađeno</t>
  </si>
  <si>
    <t>razno</t>
  </si>
  <si>
    <t xml:space="preserve">Merdevine - penjalice.Konstrukcija penjalica se izvodi čeličnim, kutijastih šupljih profila 5x3mm, dok su gazišta kružni pun profil ∅30mm. Penjalice se ankerima vezuju za konstrukciju i vare. Širina merdevina je 60cm. Donji deo penjalica uraditi kao pokretne merdevine. 
</t>
  </si>
  <si>
    <t>Penjalice zaštititi u dva premaza antikorozivnom zaštitom, i na kraju bojiti bojom za metal u dva sloja.  Boja po izboru Projektanta.
Sve ostalo raditi u svemu prema opštem opisu u predmeru radova, šemi i merama uzetim na licu mesta.</t>
  </si>
  <si>
    <t>kupole</t>
  </si>
  <si>
    <t xml:space="preserve"> Obračun po komadu sa svim potrebnim elementima. </t>
  </si>
  <si>
    <t>staklene nadstrešnice</t>
  </si>
  <si>
    <t>Nabavka i montaža staklene nadstrešnice. Sastavljena je od inox podkonstukcije pričvršćene za aluminijumske horizontalne fasadne profile. Staklo se fiksira zategama od čeličnih inox profila fiksiranih za al. noseće elemente fasade. Pokrivač nadstrešnice izvesti u "spider" sistemu, sa inox nosačima stakla (satin finish, kvalitet 316).</t>
  </si>
  <si>
    <t>Nabavka i montaža staklene nadstrešnice. Sastavljena je od čeličnih inox kutijastih profila  koji čine ram fiksiran za betonske konstruktiven elemente (specificiran u projektu konstrukcije), a pokrivanje je pamplex staklo u spider sistemu nošenja.</t>
  </si>
  <si>
    <t>Pokrivač nadstrešnice izvesti u "spider" sistemu, sa dvokrakim i četvorokrakim inox držačima stakla (satin finish, kvalitet 316) i laminiranim kaljenim staklom 6.6.2mm. Zastakljeni pokrivač nadstrešnice izvesti u blagom padu od fasade.</t>
  </si>
  <si>
    <t>Nadstrešnica je predvidjena kao paket koga čine podkonstrukcija sa staklom i "spider" sistemom.</t>
  </si>
  <si>
    <r>
      <t xml:space="preserve">Zidarska mera 80/215 cm oznaka šeme </t>
    </r>
    <r>
      <rPr>
        <b/>
        <sz val="10"/>
        <rFont val="Arial"/>
        <family val="2"/>
      </rPr>
      <t>1</t>
    </r>
  </si>
  <si>
    <r>
      <t xml:space="preserve">Zidarska mera 90/215 cm oznaka šeme </t>
    </r>
    <r>
      <rPr>
        <b/>
        <sz val="10"/>
        <rFont val="Arial"/>
        <family val="2"/>
      </rPr>
      <t>2</t>
    </r>
  </si>
  <si>
    <r>
      <t xml:space="preserve">Zidarska mera 80/215 cm oznaka šeme </t>
    </r>
    <r>
      <rPr>
        <b/>
        <sz val="10"/>
        <rFont val="Arial"/>
        <family val="2"/>
      </rPr>
      <t>1</t>
    </r>
    <r>
      <rPr>
        <b/>
        <sz val="10"/>
        <rFont val="Vrinda"/>
        <family val="2"/>
      </rPr>
      <t>"</t>
    </r>
  </si>
  <si>
    <r>
      <t xml:space="preserve">Zidarska mera 80/215 cm oznaka šeme </t>
    </r>
    <r>
      <rPr>
        <b/>
        <sz val="10"/>
        <rFont val="Arial"/>
        <family val="2"/>
      </rPr>
      <t>1</t>
    </r>
    <r>
      <rPr>
        <b/>
        <sz val="10"/>
        <rFont val="Vrinda"/>
        <family val="2"/>
      </rPr>
      <t>'</t>
    </r>
  </si>
  <si>
    <r>
      <t xml:space="preserve">Zidarska mera 110/215 cm oznaka šeme </t>
    </r>
    <r>
      <rPr>
        <b/>
        <sz val="10"/>
        <rFont val="Arial"/>
        <family val="2"/>
      </rPr>
      <t>27</t>
    </r>
  </si>
  <si>
    <r>
      <t xml:space="preserve">Zidarska mera 90/215 cm oznaka šeme </t>
    </r>
    <r>
      <rPr>
        <b/>
        <sz val="10"/>
        <rFont val="Arial"/>
        <family val="2"/>
      </rPr>
      <t>3</t>
    </r>
    <r>
      <rPr>
        <b/>
        <sz val="10"/>
        <rFont val="Vrinda"/>
        <family val="2"/>
      </rPr>
      <t>'</t>
    </r>
  </si>
  <si>
    <r>
      <t xml:space="preserve">Zidarska mera 120/215 cm oznaka šeme </t>
    </r>
    <r>
      <rPr>
        <b/>
        <sz val="10"/>
        <rFont val="Arial"/>
        <family val="2"/>
      </rPr>
      <t>5</t>
    </r>
    <r>
      <rPr>
        <b/>
        <sz val="10"/>
        <rFont val="Vrinda"/>
        <family val="2"/>
      </rPr>
      <t>'</t>
    </r>
  </si>
  <si>
    <r>
      <t xml:space="preserve">Zidarska mera 100/215 cm oznaka šeme </t>
    </r>
    <r>
      <rPr>
        <b/>
        <sz val="10"/>
        <rFont val="Arial"/>
        <family val="2"/>
      </rPr>
      <t>15</t>
    </r>
    <r>
      <rPr>
        <b/>
        <sz val="10"/>
        <rFont val="Vrinda"/>
        <family val="2"/>
      </rPr>
      <t>'</t>
    </r>
  </si>
  <si>
    <r>
      <t xml:space="preserve">Zidarska mera 90/215 cm oznaka šeme </t>
    </r>
    <r>
      <rPr>
        <b/>
        <sz val="10"/>
        <rFont val="Arial"/>
        <family val="2"/>
      </rPr>
      <t>3</t>
    </r>
  </si>
  <si>
    <r>
      <t xml:space="preserve">Zidarska mera 120/215 cm oznaka šeme </t>
    </r>
    <r>
      <rPr>
        <b/>
        <sz val="10"/>
        <rFont val="Arial"/>
        <family val="2"/>
      </rPr>
      <t>5a</t>
    </r>
  </si>
  <si>
    <r>
      <t xml:space="preserve">Zidarska mera 158/215 cm oznaka šeme </t>
    </r>
    <r>
      <rPr>
        <b/>
        <sz val="10"/>
        <rFont val="Arial"/>
        <family val="2"/>
      </rPr>
      <t>6</t>
    </r>
  </si>
  <si>
    <r>
      <t xml:space="preserve">Zidarska mera 160/215 cm oznaka šeme </t>
    </r>
    <r>
      <rPr>
        <b/>
        <sz val="10"/>
        <rFont val="Arial"/>
        <family val="2"/>
      </rPr>
      <t>6</t>
    </r>
  </si>
  <si>
    <r>
      <t xml:space="preserve">Zidarska mera 90/215 cm oznaka šeme </t>
    </r>
    <r>
      <rPr>
        <b/>
        <sz val="10"/>
        <rFont val="Arial"/>
        <family val="2"/>
      </rPr>
      <t>3</t>
    </r>
    <r>
      <rPr>
        <b/>
        <sz val="10"/>
        <rFont val="Vrinda"/>
        <family val="2"/>
      </rPr>
      <t>"</t>
    </r>
  </si>
  <si>
    <r>
      <t xml:space="preserve">Zidarska mera 120/215 cm oznaka šeme </t>
    </r>
    <r>
      <rPr>
        <b/>
        <sz val="10"/>
        <rFont val="Arial"/>
        <family val="2"/>
      </rPr>
      <t>5</t>
    </r>
    <r>
      <rPr>
        <b/>
        <sz val="10"/>
        <rFont val="Vrinda"/>
        <family val="2"/>
      </rPr>
      <t>"</t>
    </r>
  </si>
  <si>
    <r>
      <t xml:space="preserve">Zidarska mera 100/215 cm oznaka šeme </t>
    </r>
    <r>
      <rPr>
        <b/>
        <sz val="10"/>
        <rFont val="Arial"/>
        <family val="2"/>
      </rPr>
      <t>15</t>
    </r>
  </si>
  <si>
    <r>
      <t xml:space="preserve">Zidarska mera 150/215 cm oznaka šeme </t>
    </r>
    <r>
      <rPr>
        <b/>
        <sz val="10"/>
        <rFont val="Arial"/>
        <family val="2"/>
      </rPr>
      <t>16</t>
    </r>
  </si>
  <si>
    <r>
      <t xml:space="preserve">Zidarska mera 160/215 cm oznaka šeme </t>
    </r>
    <r>
      <rPr>
        <b/>
        <sz val="10"/>
        <rFont val="Arial"/>
        <family val="2"/>
      </rPr>
      <t>16</t>
    </r>
    <r>
      <rPr>
        <b/>
        <sz val="10"/>
        <rFont val="Vrinda"/>
        <family val="2"/>
      </rPr>
      <t>"</t>
    </r>
  </si>
  <si>
    <r>
      <t xml:space="preserve">Zidarska mera 90/215 cm oznaka šeme </t>
    </r>
    <r>
      <rPr>
        <b/>
        <sz val="10"/>
        <rFont val="Arial"/>
        <family val="2"/>
      </rPr>
      <t>4</t>
    </r>
  </si>
  <si>
    <r>
      <t xml:space="preserve">Zidarska mera 120/215 cm oznaka šeme </t>
    </r>
    <r>
      <rPr>
        <b/>
        <sz val="10"/>
        <rFont val="Arial"/>
        <family val="2"/>
      </rPr>
      <t>19</t>
    </r>
  </si>
  <si>
    <r>
      <t xml:space="preserve">Zidarska mera 100/215 cm oznaka šeme </t>
    </r>
    <r>
      <rPr>
        <b/>
        <sz val="10"/>
        <rFont val="Arial"/>
        <family val="2"/>
      </rPr>
      <t>14</t>
    </r>
  </si>
  <si>
    <r>
      <t xml:space="preserve">Zidarska mera158/215+135 cm oznaka šeme </t>
    </r>
    <r>
      <rPr>
        <b/>
        <sz val="10"/>
        <rFont val="Arial"/>
        <family val="2"/>
      </rPr>
      <t>7</t>
    </r>
  </si>
  <si>
    <r>
      <t xml:space="preserve">Zidarska mera185/215 cm oznaka šeme </t>
    </r>
    <r>
      <rPr>
        <b/>
        <sz val="10"/>
        <rFont val="Arial"/>
        <family val="2"/>
      </rPr>
      <t>8</t>
    </r>
  </si>
  <si>
    <r>
      <t xml:space="preserve">Zidarska mera 120/215 cm oznaka šeme </t>
    </r>
    <r>
      <rPr>
        <b/>
        <sz val="10"/>
        <rFont val="Arial"/>
        <family val="2"/>
      </rPr>
      <t>5</t>
    </r>
  </si>
  <si>
    <r>
      <t xml:space="preserve">Zidarska mera 90/215 cm oznaka šeme </t>
    </r>
    <r>
      <rPr>
        <b/>
        <sz val="10"/>
        <rFont val="Arial"/>
        <family val="2"/>
      </rPr>
      <t>13</t>
    </r>
  </si>
  <si>
    <r>
      <t xml:space="preserve">Zidarska mera 170/115 cm oznaka šeme </t>
    </r>
    <r>
      <rPr>
        <b/>
        <sz val="10"/>
        <rFont val="Arial"/>
        <family val="2"/>
      </rPr>
      <t>11</t>
    </r>
  </si>
  <si>
    <r>
      <t xml:space="preserve">Zidarska mera 120/115 cm oznaka šeme </t>
    </r>
    <r>
      <rPr>
        <b/>
        <sz val="10"/>
        <rFont val="Arial"/>
        <family val="2"/>
      </rPr>
      <t>17</t>
    </r>
  </si>
  <si>
    <r>
      <t xml:space="preserve">Zidarska mera 150/115 cm oznaka šeme </t>
    </r>
    <r>
      <rPr>
        <b/>
        <sz val="10"/>
        <rFont val="Arial"/>
        <family val="2"/>
      </rPr>
      <t>17</t>
    </r>
    <r>
      <rPr>
        <b/>
        <sz val="10"/>
        <rFont val="Vrinda"/>
        <family val="2"/>
      </rPr>
      <t>'</t>
    </r>
  </si>
  <si>
    <r>
      <t xml:space="preserve">Zidarska mera 196/115 cm oznaka šeme </t>
    </r>
    <r>
      <rPr>
        <b/>
        <sz val="10"/>
        <rFont val="Arial"/>
        <family val="2"/>
      </rPr>
      <t>12</t>
    </r>
  </si>
  <si>
    <r>
      <t xml:space="preserve">Zidarska mera 106/115 cm oznaka šeme </t>
    </r>
    <r>
      <rPr>
        <b/>
        <sz val="10"/>
        <rFont val="Arial"/>
        <family val="2"/>
      </rPr>
      <t>20</t>
    </r>
  </si>
  <si>
    <r>
      <t xml:space="preserve">Zidarska mera 174/115 cm oznaka šeme </t>
    </r>
    <r>
      <rPr>
        <b/>
        <sz val="10"/>
        <rFont val="Arial"/>
        <family val="2"/>
      </rPr>
      <t>21</t>
    </r>
  </si>
  <si>
    <r>
      <t xml:space="preserve">Zidarska mera 100/115 cm oznaka šeme </t>
    </r>
    <r>
      <rPr>
        <b/>
        <sz val="10"/>
        <rFont val="Arial"/>
        <family val="2"/>
      </rPr>
      <t>18</t>
    </r>
  </si>
  <si>
    <r>
      <t xml:space="preserve">Zidarska mera 318/215 cm oznaka šeme   </t>
    </r>
    <r>
      <rPr>
        <b/>
        <sz val="10"/>
        <rFont val="Arial"/>
        <family val="2"/>
      </rPr>
      <t>9</t>
    </r>
  </si>
  <si>
    <r>
      <t xml:space="preserve">Zidarska mera 318/350 cm oznaka šeme </t>
    </r>
    <r>
      <rPr>
        <b/>
        <sz val="10"/>
        <rFont val="Arial"/>
        <family val="2"/>
      </rPr>
      <t>10</t>
    </r>
  </si>
  <si>
    <r>
      <t xml:space="preserve">Zidarska mera 303/300 cm oznaka šeme </t>
    </r>
    <r>
      <rPr>
        <b/>
        <sz val="10"/>
        <rFont val="Arial"/>
        <family val="2"/>
      </rPr>
      <t>10</t>
    </r>
    <r>
      <rPr>
        <b/>
        <sz val="10"/>
        <rFont val="Vrinda"/>
        <family val="2"/>
      </rPr>
      <t>'</t>
    </r>
  </si>
  <si>
    <r>
      <t xml:space="preserve">Zidarska mera 590/350 cm oznaka šeme   </t>
    </r>
    <r>
      <rPr>
        <b/>
        <sz val="10"/>
        <rFont val="Arial"/>
        <family val="2"/>
      </rPr>
      <t>22</t>
    </r>
  </si>
  <si>
    <r>
      <t xml:space="preserve">Zidarska mera 585/350 cm oznaka šeme   </t>
    </r>
    <r>
      <rPr>
        <b/>
        <sz val="10"/>
        <rFont val="Arial"/>
        <family val="2"/>
      </rPr>
      <t>22</t>
    </r>
    <r>
      <rPr>
        <b/>
        <sz val="10"/>
        <rFont val="Vrinda"/>
        <family val="2"/>
      </rPr>
      <t>'</t>
    </r>
  </si>
  <si>
    <r>
      <t xml:space="preserve">Zidarska mera 285+310/350 cm oznaka šeme   </t>
    </r>
    <r>
      <rPr>
        <b/>
        <sz val="10"/>
        <rFont val="Arial"/>
        <family val="2"/>
      </rPr>
      <t>24</t>
    </r>
    <r>
      <rPr>
        <sz val="10"/>
        <rFont val="Arial"/>
        <family val="2"/>
      </rPr>
      <t>-ugaona pregrada</t>
    </r>
  </si>
  <si>
    <r>
      <t xml:space="preserve">Zidarska mera 605/300 cm oznaka šeme   </t>
    </r>
    <r>
      <rPr>
        <b/>
        <sz val="10"/>
        <rFont val="Arial"/>
        <family val="2"/>
      </rPr>
      <t>39</t>
    </r>
  </si>
  <si>
    <r>
      <t xml:space="preserve">Zidarska mera 606/300 cm oznaka šeme   </t>
    </r>
    <r>
      <rPr>
        <b/>
        <sz val="10"/>
        <rFont val="Arial"/>
        <family val="2"/>
      </rPr>
      <t>40</t>
    </r>
  </si>
  <si>
    <r>
      <t xml:space="preserve">Zidarska mera 355/300 cm oznaka šeme </t>
    </r>
    <r>
      <rPr>
        <b/>
        <sz val="10"/>
        <rFont val="Arial"/>
        <family val="2"/>
      </rPr>
      <t xml:space="preserve"> 23</t>
    </r>
  </si>
  <si>
    <r>
      <t xml:space="preserve">Zidarska mera 200/280 cm oznaka šeme </t>
    </r>
    <r>
      <rPr>
        <b/>
        <sz val="10"/>
        <rFont val="Arial"/>
        <family val="2"/>
      </rPr>
      <t xml:space="preserve"> 25</t>
    </r>
  </si>
  <si>
    <r>
      <t xml:space="preserve">Zidarska mera 205/280 cm oznaka šeme </t>
    </r>
    <r>
      <rPr>
        <b/>
        <sz val="10"/>
        <rFont val="Arial"/>
        <family val="2"/>
      </rPr>
      <t xml:space="preserve"> 25a</t>
    </r>
  </si>
  <si>
    <r>
      <t xml:space="preserve">Zidarska mera 326/280 cm oznaka šeme </t>
    </r>
    <r>
      <rPr>
        <b/>
        <sz val="10"/>
        <rFont val="Arial"/>
        <family val="2"/>
      </rPr>
      <t xml:space="preserve"> 25</t>
    </r>
    <r>
      <rPr>
        <b/>
        <sz val="10"/>
        <rFont val="Vrinda"/>
        <family val="2"/>
      </rPr>
      <t>"</t>
    </r>
  </si>
  <si>
    <r>
      <t xml:space="preserve">Zidarska mera 305/280 cm oznaka šeme </t>
    </r>
    <r>
      <rPr>
        <b/>
        <sz val="10"/>
        <rFont val="Arial"/>
        <family val="2"/>
      </rPr>
      <t xml:space="preserve"> 26</t>
    </r>
  </si>
  <si>
    <r>
      <t xml:space="preserve">Zidarska mera 305/350 cm oznaka šeme   </t>
    </r>
    <r>
      <rPr>
        <b/>
        <sz val="10"/>
        <rFont val="Arial"/>
        <family val="2"/>
      </rPr>
      <t>26</t>
    </r>
    <r>
      <rPr>
        <b/>
        <sz val="10"/>
        <rFont val="Vrinda"/>
        <family val="2"/>
      </rPr>
      <t>'</t>
    </r>
  </si>
  <si>
    <r>
      <t xml:space="preserve">Zidarska mera 305/300 cm oznaka šeme   </t>
    </r>
    <r>
      <rPr>
        <b/>
        <sz val="10"/>
        <rFont val="Arial"/>
        <family val="2"/>
      </rPr>
      <t>26</t>
    </r>
    <r>
      <rPr>
        <b/>
        <sz val="10"/>
        <rFont val="Vrinda"/>
        <family val="2"/>
      </rPr>
      <t>''</t>
    </r>
  </si>
  <si>
    <r>
      <t xml:space="preserve">Zidarska mera 560/280 cm oznaka šeme   </t>
    </r>
    <r>
      <rPr>
        <b/>
        <sz val="10"/>
        <rFont val="Arial"/>
        <family val="2"/>
      </rPr>
      <t>28</t>
    </r>
  </si>
  <si>
    <r>
      <t xml:space="preserve">Zidarska mera 220/280 cm oznaka šeme   </t>
    </r>
    <r>
      <rPr>
        <b/>
        <sz val="10"/>
        <rFont val="Arial"/>
        <family val="2"/>
      </rPr>
      <t>29</t>
    </r>
  </si>
  <si>
    <r>
      <t xml:space="preserve">Zidarska mera 981/350 cm oznaka šeme   </t>
    </r>
    <r>
      <rPr>
        <b/>
        <sz val="10"/>
        <rFont val="Arial"/>
        <family val="2"/>
      </rPr>
      <t>34</t>
    </r>
  </si>
  <si>
    <r>
      <t xml:space="preserve">Zidarska mera 560/350 cm oznaka šeme   </t>
    </r>
    <r>
      <rPr>
        <b/>
        <sz val="10"/>
        <rFont val="Arial"/>
        <family val="2"/>
      </rPr>
      <t>35</t>
    </r>
  </si>
  <si>
    <r>
      <t xml:space="preserve">Zidarska mera 216/300 cm oznaka šeme   </t>
    </r>
    <r>
      <rPr>
        <b/>
        <sz val="10"/>
        <rFont val="Arial"/>
        <family val="2"/>
      </rPr>
      <t>30</t>
    </r>
  </si>
  <si>
    <r>
      <t xml:space="preserve">Zidarska mera 150/300 cm oznaka šeme   </t>
    </r>
    <r>
      <rPr>
        <b/>
        <sz val="10"/>
        <rFont val="Arial"/>
        <family val="2"/>
      </rPr>
      <t>31</t>
    </r>
  </si>
  <si>
    <r>
      <t xml:space="preserve">Zidarska mera 200/300 cm oznaka šeme   </t>
    </r>
    <r>
      <rPr>
        <b/>
        <sz val="10"/>
        <rFont val="Arial"/>
        <family val="2"/>
      </rPr>
      <t>32</t>
    </r>
  </si>
  <si>
    <r>
      <t xml:space="preserve">Zidarska mera 450/300 cm oznaka šeme   </t>
    </r>
    <r>
      <rPr>
        <b/>
        <sz val="10"/>
        <rFont val="Arial"/>
        <family val="2"/>
      </rPr>
      <t>37</t>
    </r>
  </si>
  <si>
    <r>
      <t xml:space="preserve">Zidarska mera 540/300 cm oznaka šeme   </t>
    </r>
    <r>
      <rPr>
        <b/>
        <sz val="10"/>
        <rFont val="Arial"/>
        <family val="2"/>
      </rPr>
      <t>38</t>
    </r>
  </si>
  <si>
    <r>
      <t xml:space="preserve">Zidarska mera 720/300 cm oznaka šeme   </t>
    </r>
    <r>
      <rPr>
        <b/>
        <sz val="10"/>
        <rFont val="Arial"/>
        <family val="2"/>
      </rPr>
      <t>33</t>
    </r>
  </si>
  <si>
    <r>
      <t xml:space="preserve">Zidarska mera 268/280 cm oznaka šeme   </t>
    </r>
    <r>
      <rPr>
        <b/>
        <sz val="10"/>
        <rFont val="Arial"/>
        <family val="2"/>
      </rPr>
      <t>29</t>
    </r>
    <r>
      <rPr>
        <b/>
        <sz val="10"/>
        <rFont val="Vrinda"/>
        <family val="2"/>
      </rPr>
      <t>'</t>
    </r>
  </si>
  <si>
    <r>
      <rPr>
        <b/>
        <sz val="10"/>
        <rFont val="Arial"/>
        <family val="2"/>
      </rPr>
      <t>Pripremiti štok vrata za ugradnju prihvatnika ( brave ) za kontrolu pristupa ( prema elektro projektu 2014U018E04 ).</t>
    </r>
    <r>
      <rPr>
        <sz val="10"/>
        <rFont val="Arial"/>
        <family val="2"/>
      </rPr>
      <t xml:space="preserve">
Vrata su od eloksiranih al. profila u prirodnoj boji aluminijuma - silver mat RAL 9007.
Raditi u svemu prema priloženoj šemi i detalju proizvođača.</t>
    </r>
  </si>
  <si>
    <r>
      <t xml:space="preserve">Zidarska mera 120/215 cm oznaka šeme  </t>
    </r>
    <r>
      <rPr>
        <b/>
        <sz val="10"/>
        <rFont val="Arial"/>
        <family val="2"/>
      </rPr>
      <t>5a</t>
    </r>
    <r>
      <rPr>
        <b/>
        <sz val="10"/>
        <rFont val="Vrinda"/>
        <family val="2"/>
      </rPr>
      <t>'</t>
    </r>
  </si>
  <si>
    <r>
      <t xml:space="preserve">Zidarska mera 160/215 cm oznaka šeme </t>
    </r>
    <r>
      <rPr>
        <b/>
        <sz val="10"/>
        <rFont val="Arial"/>
        <family val="2"/>
      </rPr>
      <t>16a</t>
    </r>
    <r>
      <rPr>
        <b/>
        <sz val="10"/>
        <rFont val="Vrinda"/>
        <family val="2"/>
      </rPr>
      <t>'</t>
    </r>
  </si>
  <si>
    <r>
      <t xml:space="preserve">Zidarska mera 150/215 cm oznaka šeme </t>
    </r>
    <r>
      <rPr>
        <b/>
        <sz val="10"/>
        <rFont val="Arial"/>
        <family val="2"/>
      </rPr>
      <t>16a</t>
    </r>
  </si>
  <si>
    <r>
      <rPr>
        <b/>
        <sz val="10"/>
        <rFont val="Arial"/>
        <family val="2"/>
      </rPr>
      <t>Pripremiti štok vrata za ugradnju prihvatnika                      ( brave ) za kontrolu pristupa ( prema elektro projektu 2014U018E04 ).</t>
    </r>
    <r>
      <rPr>
        <sz val="10"/>
        <rFont val="Arial"/>
        <family val="2"/>
      </rPr>
      <t xml:space="preserve">
U jediničnu cenu uračunati i ugrađivanje odgovarajućeg slepog štoka od kutijastih profila. Isporuka sa pripadajućim okovima.
Pregrada je od eloksiranih al. profila u prirodnoj boji aluminijuma - silver mat RAL 9007.
Pregrade se fiksiraju šrafljenjem u finalno obrađen pod i plafon. </t>
    </r>
  </si>
  <si>
    <r>
      <t xml:space="preserve">Zidarska mera 300/300 cm oznaka šeme  </t>
    </r>
    <r>
      <rPr>
        <b/>
        <sz val="10"/>
        <rFont val="Arial"/>
        <family val="2"/>
      </rPr>
      <t>10</t>
    </r>
    <r>
      <rPr>
        <b/>
        <sz val="10"/>
        <rFont val="Vrinda"/>
        <family val="2"/>
      </rPr>
      <t>"</t>
    </r>
  </si>
  <si>
    <r>
      <t xml:space="preserve">Zidarska mera 200/280 cm oznaka šeme  </t>
    </r>
    <r>
      <rPr>
        <b/>
        <sz val="10"/>
        <rFont val="Arial"/>
        <family val="2"/>
      </rPr>
      <t>25b</t>
    </r>
  </si>
  <si>
    <r>
      <t xml:space="preserve">Zidarska mera 200/280 cm oznaka šeme  </t>
    </r>
    <r>
      <rPr>
        <b/>
        <sz val="10"/>
        <rFont val="Arial"/>
        <family val="2"/>
      </rPr>
      <t>25</t>
    </r>
    <r>
      <rPr>
        <b/>
        <sz val="10"/>
        <rFont val="Vrinda"/>
        <family val="2"/>
      </rPr>
      <t>'</t>
    </r>
  </si>
  <si>
    <r>
      <t xml:space="preserve">Zidarska mera 60/60cm oznaka šeme </t>
    </r>
    <r>
      <rPr>
        <b/>
        <sz val="10"/>
        <rFont val="Arial"/>
        <family val="2"/>
      </rPr>
      <t>41</t>
    </r>
  </si>
  <si>
    <r>
      <t xml:space="preserve">Zidarska mera 550/355 cm oznaka šeme  </t>
    </r>
    <r>
      <rPr>
        <b/>
        <sz val="10"/>
        <rFont val="Arial"/>
        <family val="2"/>
      </rPr>
      <t>F1</t>
    </r>
  </si>
  <si>
    <r>
      <t xml:space="preserve">Zidarska mera 537/355 cm oznaka šeme  </t>
    </r>
    <r>
      <rPr>
        <b/>
        <sz val="10"/>
        <rFont val="Arial"/>
        <family val="2"/>
      </rPr>
      <t>F2</t>
    </r>
  </si>
  <si>
    <r>
      <t xml:space="preserve">Zidarska mera    200/350 cm oznaka šeme  </t>
    </r>
    <r>
      <rPr>
        <b/>
        <sz val="10"/>
        <rFont val="Arial"/>
        <family val="2"/>
      </rPr>
      <t>F3</t>
    </r>
  </si>
  <si>
    <r>
      <t xml:space="preserve">Zidarska mera    150/350 cm oznaka šeme  </t>
    </r>
    <r>
      <rPr>
        <b/>
        <sz val="10"/>
        <rFont val="Arial"/>
        <family val="2"/>
      </rPr>
      <t xml:space="preserve">F4         </t>
    </r>
    <r>
      <rPr>
        <sz val="10"/>
        <rFont val="Arial"/>
        <family val="2"/>
      </rPr>
      <t>sa</t>
    </r>
    <r>
      <rPr>
        <b/>
        <sz val="10"/>
        <rFont val="Arial"/>
        <family val="2"/>
      </rPr>
      <t xml:space="preserve"> </t>
    </r>
    <r>
      <rPr>
        <sz val="10"/>
        <rFont val="Arial"/>
        <family val="2"/>
      </rPr>
      <t>antipanik šinom za otvar. u smeru evakuacije.</t>
    </r>
    <r>
      <rPr>
        <b/>
        <sz val="10"/>
        <rFont val="Arial"/>
        <family val="2"/>
      </rPr>
      <t xml:space="preserve">
</t>
    </r>
  </si>
  <si>
    <r>
      <t xml:space="preserve">Zidarska mera    200/350 cm oznaka šeme  </t>
    </r>
    <r>
      <rPr>
        <b/>
        <sz val="10"/>
        <rFont val="Arial"/>
        <family val="2"/>
      </rPr>
      <t>F3a</t>
    </r>
  </si>
  <si>
    <t xml:space="preserve">Oblik, boja i materijal vidnih delova okova po katalogu proizvođača i izboru projektanta. 
</t>
  </si>
  <si>
    <r>
      <t xml:space="preserve">Zidarska mera     540/250 cm oznaka šeme  </t>
    </r>
    <r>
      <rPr>
        <b/>
        <sz val="10"/>
        <rFont val="Arial"/>
        <family val="2"/>
      </rPr>
      <t>F33</t>
    </r>
  </si>
  <si>
    <r>
      <t xml:space="preserve">Dimenzija   100/375 cm oznaka šeme  </t>
    </r>
    <r>
      <rPr>
        <b/>
        <sz val="10"/>
        <rFont val="Arial"/>
        <family val="2"/>
      </rPr>
      <t>F14b</t>
    </r>
  </si>
  <si>
    <r>
      <t xml:space="preserve">Dimenzija   100/343 cm oznaka šeme  </t>
    </r>
    <r>
      <rPr>
        <b/>
        <sz val="10"/>
        <rFont val="Arial"/>
        <family val="2"/>
      </rPr>
      <t>F14</t>
    </r>
  </si>
  <si>
    <r>
      <t xml:space="preserve">Dimenzija   100/300 cm oznaka šeme  </t>
    </r>
    <r>
      <rPr>
        <b/>
        <sz val="10"/>
        <rFont val="Arial"/>
        <family val="2"/>
      </rPr>
      <t>F14a</t>
    </r>
  </si>
  <si>
    <r>
      <t>Dimenzija   150/350 cm oznaka šeme</t>
    </r>
    <r>
      <rPr>
        <b/>
        <sz val="10"/>
        <rFont val="Arial"/>
        <family val="2"/>
      </rPr>
      <t xml:space="preserve">  F29                         </t>
    </r>
    <r>
      <rPr>
        <sz val="10"/>
        <rFont val="Arial"/>
        <family val="2"/>
      </rPr>
      <t>sa antipanik šinom za otvar. u smeru evakuacije</t>
    </r>
  </si>
  <si>
    <r>
      <t>Dimenzija   200/350 cm oznaka šeme</t>
    </r>
    <r>
      <rPr>
        <b/>
        <sz val="10"/>
        <rFont val="Arial"/>
        <family val="2"/>
      </rPr>
      <t xml:space="preserve">  F34</t>
    </r>
  </si>
  <si>
    <r>
      <t>Dimenzija  10x20/400cm oznaka šeme</t>
    </r>
    <r>
      <rPr>
        <b/>
        <sz val="10"/>
        <rFont val="Arial"/>
        <family val="2"/>
      </rPr>
      <t xml:space="preserve">  F60</t>
    </r>
  </si>
  <si>
    <r>
      <t xml:space="preserve">Protivpožarna vrata vatrootpornosti </t>
    </r>
    <r>
      <rPr>
        <b/>
        <sz val="10"/>
        <rFont val="Arial"/>
        <family val="2"/>
      </rPr>
      <t xml:space="preserve">60 minuta.  </t>
    </r>
    <r>
      <rPr>
        <sz val="10"/>
        <rFont val="Arial"/>
        <family val="2"/>
      </rPr>
      <t xml:space="preserve">   
Izrada i montaža unutrašnjih jednokrilnih i dvokrilnih  punih,čeličnih vrata sa mehanizmom za samozatvaranje.
Ram vrata je od čeličnih profila. Krilo se sastoji od čelične konstrukcije sa ispunom od sloja otporne termoizolacije, a obostrano su obložena čeličnim limom. 
Vrata snabdeti odgovarajućim okovom i cilinder bravom za zaključavanje. 
</t>
    </r>
  </si>
  <si>
    <r>
      <t xml:space="preserve">Okovi, kvaka i brave i ostali  ugradni elementi moraju imati atest za protivpožarnost 60 minuta.
Finalna obrada vrata je bojenje bojom za metal otpornom na požar, uz predhodno miniziranje.
Dihtovanje vrata će se izvršiti protivpožarnom dihtung trakom.
</t>
    </r>
    <r>
      <rPr>
        <b/>
        <sz val="10"/>
        <rFont val="Arial"/>
        <family val="2"/>
      </rPr>
      <t xml:space="preserve">Vrata moraju biti atestirana po SRPS.U.J1.160 </t>
    </r>
    <r>
      <rPr>
        <sz val="10"/>
        <rFont val="Arial"/>
        <family val="2"/>
      </rPr>
      <t xml:space="preserve">
</t>
    </r>
  </si>
  <si>
    <r>
      <t xml:space="preserve">Zidarska mera 90/215 cm oznaka šeme  </t>
    </r>
    <r>
      <rPr>
        <b/>
        <sz val="10"/>
        <rFont val="Arial"/>
        <family val="2"/>
      </rPr>
      <t>2</t>
    </r>
    <r>
      <rPr>
        <b/>
        <sz val="10"/>
        <rFont val="Vrinda"/>
        <family val="2"/>
      </rPr>
      <t>"</t>
    </r>
  </si>
  <si>
    <r>
      <t xml:space="preserve">Zidarska mera 120/215 cm oznaka šeme  </t>
    </r>
    <r>
      <rPr>
        <b/>
        <sz val="10"/>
        <rFont val="Arial"/>
        <family val="2"/>
      </rPr>
      <t>6</t>
    </r>
    <r>
      <rPr>
        <b/>
        <sz val="10"/>
        <rFont val="Vrinda"/>
        <family val="2"/>
      </rPr>
      <t>'</t>
    </r>
  </si>
  <si>
    <r>
      <t xml:space="preserve">Zidarska mera 90/215 cm oznaka šeme    </t>
    </r>
    <r>
      <rPr>
        <b/>
        <sz val="10"/>
        <rFont val="Arial"/>
        <family val="2"/>
      </rPr>
      <t>2</t>
    </r>
    <r>
      <rPr>
        <b/>
        <sz val="10"/>
        <rFont val="Vrinda"/>
        <family val="2"/>
      </rPr>
      <t>'</t>
    </r>
  </si>
  <si>
    <r>
      <t xml:space="preserve">Zidarska mera 110/215 cm oznaka šeme  </t>
    </r>
    <r>
      <rPr>
        <b/>
        <sz val="10"/>
        <rFont val="Arial"/>
        <family val="2"/>
      </rPr>
      <t>3</t>
    </r>
    <r>
      <rPr>
        <b/>
        <sz val="10"/>
        <rFont val="Vrinda"/>
        <family val="2"/>
      </rPr>
      <t>'</t>
    </r>
  </si>
  <si>
    <r>
      <t xml:space="preserve">Zidarska mera 160/215 cm oznaka šeme  </t>
    </r>
    <r>
      <rPr>
        <b/>
        <sz val="10"/>
        <rFont val="Arial"/>
        <family val="2"/>
      </rPr>
      <t>4</t>
    </r>
    <r>
      <rPr>
        <b/>
        <sz val="10"/>
        <rFont val="Vrinda"/>
        <family val="2"/>
      </rPr>
      <t>'</t>
    </r>
  </si>
  <si>
    <r>
      <t xml:space="preserve">Zidarska mera 90/215 cm oznaka šeme    </t>
    </r>
    <r>
      <rPr>
        <b/>
        <sz val="10"/>
        <rFont val="Arial"/>
        <family val="2"/>
      </rPr>
      <t>2</t>
    </r>
  </si>
  <si>
    <r>
      <t xml:space="preserve">Zidarska mera 110/215 cm oznaka šeme  </t>
    </r>
    <r>
      <rPr>
        <b/>
        <sz val="10"/>
        <rFont val="Arial"/>
        <family val="2"/>
      </rPr>
      <t>3</t>
    </r>
  </si>
  <si>
    <r>
      <t xml:space="preserve">Zidarska mera 100/215 cm oznaka šeme  </t>
    </r>
    <r>
      <rPr>
        <b/>
        <sz val="10"/>
        <rFont val="Arial"/>
        <family val="2"/>
      </rPr>
      <t>1</t>
    </r>
  </si>
  <si>
    <r>
      <t xml:space="preserve">Zidarska mera 110/215 cm oznaka šeme  </t>
    </r>
    <r>
      <rPr>
        <b/>
        <sz val="10"/>
        <rFont val="Arial"/>
        <family val="2"/>
      </rPr>
      <t xml:space="preserve">3                  </t>
    </r>
    <r>
      <rPr>
        <sz val="10"/>
        <rFont val="Arial"/>
        <family val="2"/>
      </rPr>
      <t>Vrata snabdeti i  antipanik šinom za otvaranje u smeru evakuacije.</t>
    </r>
    <r>
      <rPr>
        <b/>
        <sz val="10"/>
        <rFont val="Arial"/>
        <family val="2"/>
      </rPr>
      <t xml:space="preserve">
</t>
    </r>
  </si>
  <si>
    <r>
      <t xml:space="preserve">Zidarska mera 150/215 cm oznaka šeme  </t>
    </r>
    <r>
      <rPr>
        <b/>
        <sz val="10"/>
        <rFont val="Arial"/>
        <family val="2"/>
      </rPr>
      <t>5</t>
    </r>
  </si>
  <si>
    <r>
      <t xml:space="preserve">Zidarska mera 120/215 cm oznaka šeme  </t>
    </r>
    <r>
      <rPr>
        <b/>
        <sz val="10"/>
        <rFont val="Arial"/>
        <family val="2"/>
      </rPr>
      <t>6</t>
    </r>
  </si>
  <si>
    <r>
      <t xml:space="preserve">Zidarska mera 160/215 cm oznaka šeme  </t>
    </r>
    <r>
      <rPr>
        <b/>
        <sz val="10"/>
        <rFont val="Arial"/>
        <family val="2"/>
      </rPr>
      <t>4</t>
    </r>
  </si>
  <si>
    <r>
      <t xml:space="preserve">Okovi, kvaka i brave i ostali  ugradni elementi moraju imati atest za protivpožarnost 90 minuta.
Finalna obrada vrata je bojenje bojom za metal otpornom na požar, uz predhodno miniziranje.
Dihtovanje vrata će se izvršiti protivpožarnom dihtung trakom.
</t>
    </r>
    <r>
      <rPr>
        <b/>
        <sz val="10"/>
        <rFont val="Arial"/>
        <family val="2"/>
      </rPr>
      <t xml:space="preserve">Vrata moraju biti atestirana po SRPS.U.J1.160 </t>
    </r>
    <r>
      <rPr>
        <sz val="10"/>
        <rFont val="Arial"/>
        <family val="2"/>
      </rPr>
      <t xml:space="preserve">
</t>
    </r>
  </si>
  <si>
    <r>
      <t xml:space="preserve">Zidarska mera 90/215 cm oznaka šeme    </t>
    </r>
    <r>
      <rPr>
        <b/>
        <sz val="10"/>
        <rFont val="Arial"/>
        <family val="2"/>
      </rPr>
      <t>8</t>
    </r>
  </si>
  <si>
    <r>
      <t xml:space="preserve">Zidarska mera 160/215 cm oznaka šeme </t>
    </r>
    <r>
      <rPr>
        <b/>
        <sz val="10"/>
        <rFont val="Arial"/>
        <family val="2"/>
      </rPr>
      <t xml:space="preserve"> 4a </t>
    </r>
    <r>
      <rPr>
        <sz val="10"/>
        <rFont val="Arial"/>
        <family val="2"/>
      </rPr>
      <t xml:space="preserve">                 Vrata treba da zadovolji traženi koeficijent prolaza toplote Uw&lt;1,6W/m2K.
</t>
    </r>
  </si>
  <si>
    <r>
      <t xml:space="preserve">Zidarska mera 164/280 cm oznaka šeme    </t>
    </r>
    <r>
      <rPr>
        <b/>
        <sz val="10"/>
        <rFont val="Arial"/>
        <family val="2"/>
      </rPr>
      <t>7</t>
    </r>
    <r>
      <rPr>
        <b/>
        <sz val="10"/>
        <rFont val="Vrinda"/>
        <family val="2"/>
      </rPr>
      <t>'</t>
    </r>
  </si>
  <si>
    <r>
      <t>Protivpožarna pregrada vatrootpornosti</t>
    </r>
    <r>
      <rPr>
        <b/>
        <sz val="10"/>
        <rFont val="Arial"/>
        <family val="2"/>
      </rPr>
      <t xml:space="preserve"> 60 minuta.  </t>
    </r>
    <r>
      <rPr>
        <sz val="10"/>
        <rFont val="Arial"/>
        <family val="2"/>
      </rPr>
      <t xml:space="preserve">   
Izrada i montaža unutrašnjie staklenih čelične pregrade sa mehanizmom za samozatvaranje.
Pregrada je sačinjena od dvokrilnih staklenih vrata sa nadsvetlom. Ram vrata je od čeličnih profila. Krilo se sastoji od čelične konstrukcije sa ispunom od sloja otporne termoizolacije, a zastakljeno specijalnim, vatrootporni sigurnosnim pampleks staklom 4.1.4  sa stabilnim UV gelom.Vrata snabdeti odgovarajućim okovom i cilinder bravom za zaključavanje. 
</t>
    </r>
  </si>
  <si>
    <r>
      <t xml:space="preserve">Zidarska mera 210/280 cm oznaka šeme    </t>
    </r>
    <r>
      <rPr>
        <b/>
        <sz val="10"/>
        <rFont val="Arial"/>
        <family val="2"/>
      </rPr>
      <t>7</t>
    </r>
  </si>
  <si>
    <r>
      <t xml:space="preserve">Zidarska mera 164/280 cm oznaka šeme    </t>
    </r>
    <r>
      <rPr>
        <b/>
        <sz val="10"/>
        <rFont val="Arial"/>
        <family val="2"/>
      </rPr>
      <t>7a</t>
    </r>
    <r>
      <rPr>
        <b/>
        <sz val="10"/>
        <rFont val="Vrinda"/>
        <family val="2"/>
      </rPr>
      <t>'</t>
    </r>
  </si>
  <si>
    <r>
      <t xml:space="preserve">Zidarska mera 160/215 cm oznaka šeme    </t>
    </r>
    <r>
      <rPr>
        <b/>
        <sz val="10"/>
        <rFont val="Arial"/>
        <family val="2"/>
      </rPr>
      <t>9</t>
    </r>
  </si>
  <si>
    <r>
      <t xml:space="preserve">Dimenzije 317+2x150/210  cm oznaka šeme    </t>
    </r>
    <r>
      <rPr>
        <b/>
        <sz val="10"/>
        <rFont val="Arial"/>
        <family val="2"/>
      </rPr>
      <t>P4</t>
    </r>
  </si>
  <si>
    <r>
      <t xml:space="preserve">Dimenzije 312+2x150/210  cm oznaka šeme    </t>
    </r>
    <r>
      <rPr>
        <b/>
        <sz val="10"/>
        <rFont val="Arial"/>
        <family val="2"/>
      </rPr>
      <t>P4</t>
    </r>
    <r>
      <rPr>
        <b/>
        <sz val="10"/>
        <rFont val="Vrinda"/>
        <family val="2"/>
      </rPr>
      <t>'</t>
    </r>
  </si>
  <si>
    <r>
      <t xml:space="preserve">Dimenzije 204+150/210  cm oznaka šeme        </t>
    </r>
    <r>
      <rPr>
        <b/>
        <sz val="10"/>
        <rFont val="Arial"/>
        <family val="2"/>
      </rPr>
      <t>P5</t>
    </r>
  </si>
  <si>
    <r>
      <t xml:space="preserve">Dimenzije 204+150/210  cm oznaka šeme        </t>
    </r>
    <r>
      <rPr>
        <b/>
        <sz val="10"/>
        <rFont val="Arial"/>
        <family val="2"/>
      </rPr>
      <t>P5</t>
    </r>
    <r>
      <rPr>
        <b/>
        <sz val="10"/>
        <rFont val="Vrinda"/>
        <family val="2"/>
      </rPr>
      <t>'</t>
    </r>
  </si>
  <si>
    <r>
      <t xml:space="preserve">Dimenzije 206+166/210  cm oznaka šeme        </t>
    </r>
    <r>
      <rPr>
        <b/>
        <sz val="10"/>
        <rFont val="Arial"/>
        <family val="2"/>
      </rPr>
      <t>P6</t>
    </r>
  </si>
  <si>
    <r>
      <t xml:space="preserve">Dimenzije 174+168/210  cm oznaka šeme        </t>
    </r>
    <r>
      <rPr>
        <b/>
        <sz val="10"/>
        <rFont val="Arial"/>
        <family val="2"/>
      </rPr>
      <t>P6</t>
    </r>
    <r>
      <rPr>
        <b/>
        <sz val="10"/>
        <rFont val="Vrinda"/>
        <family val="2"/>
      </rPr>
      <t>'</t>
    </r>
  </si>
  <si>
    <r>
      <t xml:space="preserve">Dimenzije 226+160/210  cm oznaka šeme        </t>
    </r>
    <r>
      <rPr>
        <b/>
        <sz val="10"/>
        <rFont val="Arial"/>
        <family val="2"/>
      </rPr>
      <t>P7</t>
    </r>
  </si>
  <si>
    <r>
      <t xml:space="preserve">Dimenzije 337+2x160/210  cm oznaka šeme    </t>
    </r>
    <r>
      <rPr>
        <b/>
        <sz val="10"/>
        <rFont val="Arial"/>
        <family val="2"/>
      </rPr>
      <t>P8</t>
    </r>
  </si>
  <si>
    <r>
      <t xml:space="preserve">Dimenzije 337+2x160/210  cm oznaka šeme    </t>
    </r>
    <r>
      <rPr>
        <b/>
        <sz val="10"/>
        <rFont val="Arial"/>
        <family val="2"/>
      </rPr>
      <t>P8</t>
    </r>
    <r>
      <rPr>
        <b/>
        <sz val="10"/>
        <rFont val="Vrinda"/>
        <family val="2"/>
      </rPr>
      <t>'</t>
    </r>
  </si>
  <si>
    <r>
      <t xml:space="preserve">Dimenzije 226+165/210  cm oznaka šeme        </t>
    </r>
    <r>
      <rPr>
        <b/>
        <sz val="10"/>
        <rFont val="Arial"/>
        <family val="2"/>
      </rPr>
      <t>P9</t>
    </r>
  </si>
  <si>
    <r>
      <t xml:space="preserve">Dimenzije 226+200/210  cm oznaka šeme        </t>
    </r>
    <r>
      <rPr>
        <b/>
        <sz val="10"/>
        <rFont val="Arial"/>
        <family val="2"/>
      </rPr>
      <t>P9</t>
    </r>
    <r>
      <rPr>
        <b/>
        <sz val="10"/>
        <rFont val="Vrinda"/>
        <family val="2"/>
      </rPr>
      <t>'</t>
    </r>
  </si>
  <si>
    <r>
      <t xml:space="preserve">Dimenzije 285+161/210  cm oznaka šeme        </t>
    </r>
    <r>
      <rPr>
        <b/>
        <sz val="10"/>
        <rFont val="Arial"/>
        <family val="2"/>
      </rPr>
      <t>P10</t>
    </r>
  </si>
  <si>
    <r>
      <t xml:space="preserve">Dimenzije 286+161/210  cm oznaka šeme        </t>
    </r>
    <r>
      <rPr>
        <b/>
        <sz val="10"/>
        <rFont val="Arial"/>
        <family val="2"/>
      </rPr>
      <t>P10</t>
    </r>
    <r>
      <rPr>
        <b/>
        <sz val="10"/>
        <rFont val="Vrinda"/>
        <family val="2"/>
      </rPr>
      <t>'</t>
    </r>
  </si>
  <si>
    <r>
      <t xml:space="preserve">Dimenzije 185+155/210  cm oznaka šeme         </t>
    </r>
    <r>
      <rPr>
        <b/>
        <sz val="10"/>
        <rFont val="Arial"/>
        <family val="2"/>
      </rPr>
      <t>P2</t>
    </r>
  </si>
  <si>
    <r>
      <t xml:space="preserve">Dimenzije 293+2x150/210  cm oznaka šeme     </t>
    </r>
    <r>
      <rPr>
        <b/>
        <sz val="10"/>
        <rFont val="Arial"/>
        <family val="2"/>
      </rPr>
      <t>P1</t>
    </r>
  </si>
  <si>
    <r>
      <t xml:space="preserve">Dimenzije 293+2x150/210  cm oznaka šeme     </t>
    </r>
    <r>
      <rPr>
        <b/>
        <sz val="10"/>
        <rFont val="Arial"/>
        <family val="2"/>
      </rPr>
      <t>P1</t>
    </r>
    <r>
      <rPr>
        <b/>
        <sz val="10"/>
        <rFont val="Vrinda"/>
        <family val="2"/>
      </rPr>
      <t>'</t>
    </r>
  </si>
  <si>
    <r>
      <t xml:space="preserve">Dimenzije 322+2x155/210  cm oznaka šeme     </t>
    </r>
    <r>
      <rPr>
        <b/>
        <sz val="10"/>
        <rFont val="Arial"/>
        <family val="2"/>
      </rPr>
      <t>P3</t>
    </r>
  </si>
  <si>
    <r>
      <t xml:space="preserve">Dimenzije 322+2x155/210  cm oznaka šeme     </t>
    </r>
    <r>
      <rPr>
        <b/>
        <sz val="10"/>
        <rFont val="Arial"/>
        <family val="2"/>
      </rPr>
      <t>P3</t>
    </r>
    <r>
      <rPr>
        <b/>
        <sz val="10"/>
        <rFont val="Vrinda"/>
        <family val="2"/>
      </rPr>
      <t>'</t>
    </r>
  </si>
  <si>
    <r>
      <rPr>
        <sz val="10"/>
        <rFont val="Arial"/>
        <family val="2"/>
      </rPr>
      <t>Oznaka</t>
    </r>
    <r>
      <rPr>
        <b/>
        <sz val="10"/>
        <rFont val="Arial"/>
        <family val="2"/>
      </rPr>
      <t xml:space="preserve"> O1</t>
    </r>
  </si>
  <si>
    <r>
      <rPr>
        <sz val="10"/>
        <rFont val="Arial"/>
        <family val="2"/>
      </rPr>
      <t xml:space="preserve">Oznaka </t>
    </r>
    <r>
      <rPr>
        <b/>
        <sz val="10"/>
        <rFont val="Arial"/>
        <family val="2"/>
      </rPr>
      <t>O2</t>
    </r>
  </si>
  <si>
    <r>
      <rPr>
        <sz val="10"/>
        <rFont val="Arial"/>
        <family val="2"/>
      </rPr>
      <t xml:space="preserve">Oznaka </t>
    </r>
    <r>
      <rPr>
        <b/>
        <sz val="10"/>
        <rFont val="Arial"/>
        <family val="2"/>
      </rPr>
      <t>O3</t>
    </r>
  </si>
  <si>
    <r>
      <rPr>
        <sz val="10"/>
        <rFont val="Arial"/>
        <family val="2"/>
      </rPr>
      <t xml:space="preserve">Oznaka </t>
    </r>
    <r>
      <rPr>
        <b/>
        <sz val="10"/>
        <rFont val="Arial"/>
        <family val="2"/>
      </rPr>
      <t>O4</t>
    </r>
  </si>
  <si>
    <r>
      <rPr>
        <sz val="10"/>
        <rFont val="Arial"/>
        <family val="2"/>
      </rPr>
      <t xml:space="preserve">Oznaka </t>
    </r>
    <r>
      <rPr>
        <b/>
        <sz val="10"/>
        <rFont val="Arial"/>
        <family val="2"/>
      </rPr>
      <t>O5</t>
    </r>
  </si>
  <si>
    <r>
      <rPr>
        <sz val="10"/>
        <rFont val="Arial"/>
        <family val="2"/>
      </rPr>
      <t>Oznaka</t>
    </r>
    <r>
      <rPr>
        <b/>
        <sz val="10"/>
        <rFont val="Arial"/>
        <family val="2"/>
      </rPr>
      <t xml:space="preserve"> O6</t>
    </r>
  </si>
  <si>
    <r>
      <rPr>
        <sz val="10"/>
        <rFont val="Arial"/>
        <family val="2"/>
      </rPr>
      <t>Oznaka</t>
    </r>
    <r>
      <rPr>
        <b/>
        <sz val="10"/>
        <rFont val="Arial"/>
        <family val="2"/>
      </rPr>
      <t xml:space="preserve"> O7</t>
    </r>
  </si>
  <si>
    <r>
      <rPr>
        <sz val="10"/>
        <rFont val="Arial"/>
        <family val="2"/>
      </rPr>
      <t>Oznaka</t>
    </r>
    <r>
      <rPr>
        <b/>
        <sz val="10"/>
        <rFont val="Arial"/>
        <family val="2"/>
      </rPr>
      <t xml:space="preserve"> 10    </t>
    </r>
    <r>
      <rPr>
        <sz val="10"/>
        <rFont val="Arial"/>
        <family val="2"/>
      </rPr>
      <t>visine H=223 cm</t>
    </r>
  </si>
  <si>
    <r>
      <rPr>
        <sz val="10"/>
        <rFont val="Arial"/>
        <family val="2"/>
      </rPr>
      <t>Oznaka</t>
    </r>
    <r>
      <rPr>
        <b/>
        <sz val="10"/>
        <rFont val="Arial"/>
        <family val="2"/>
      </rPr>
      <t xml:space="preserve"> 10b  </t>
    </r>
    <r>
      <rPr>
        <sz val="10"/>
        <rFont val="Arial"/>
        <family val="2"/>
      </rPr>
      <t>visine H=213 cm</t>
    </r>
  </si>
  <si>
    <r>
      <rPr>
        <sz val="10"/>
        <rFont val="Arial"/>
        <family val="2"/>
      </rPr>
      <t>Oznaka</t>
    </r>
    <r>
      <rPr>
        <b/>
        <sz val="10"/>
        <rFont val="Arial"/>
        <family val="2"/>
      </rPr>
      <t xml:space="preserve"> 10a  </t>
    </r>
    <r>
      <rPr>
        <sz val="10"/>
        <rFont val="Arial"/>
        <family val="2"/>
      </rPr>
      <t>visine H=415 cm</t>
    </r>
  </si>
  <si>
    <r>
      <rPr>
        <sz val="10"/>
        <rFont val="Arial"/>
        <family val="2"/>
      </rPr>
      <t>Dimenzija 100/100     Oznaka</t>
    </r>
    <r>
      <rPr>
        <b/>
        <sz val="10"/>
        <rFont val="Arial"/>
        <family val="2"/>
      </rPr>
      <t xml:space="preserve"> F57</t>
    </r>
  </si>
  <si>
    <r>
      <rPr>
        <sz val="10"/>
        <rFont val="Arial"/>
        <family val="2"/>
      </rPr>
      <t>Dimenzija 100/100     Oznaka</t>
    </r>
    <r>
      <rPr>
        <b/>
        <sz val="10"/>
        <rFont val="Arial"/>
        <family val="2"/>
      </rPr>
      <t xml:space="preserve"> F57a</t>
    </r>
  </si>
  <si>
    <r>
      <rPr>
        <sz val="10"/>
        <rFont val="Arial"/>
        <family val="2"/>
      </rPr>
      <t>Dimenzija 300/600     Oznaka</t>
    </r>
    <r>
      <rPr>
        <b/>
        <sz val="10"/>
        <rFont val="Arial"/>
        <family val="2"/>
      </rPr>
      <t xml:space="preserve"> F58</t>
    </r>
  </si>
  <si>
    <r>
      <rPr>
        <sz val="10"/>
        <rFont val="Arial"/>
        <family val="2"/>
      </rPr>
      <t>Dimenzija 525/575     Oznaka</t>
    </r>
    <r>
      <rPr>
        <b/>
        <sz val="10"/>
        <rFont val="Arial"/>
        <family val="2"/>
      </rPr>
      <t xml:space="preserve"> F59</t>
    </r>
  </si>
  <si>
    <t>Raditi u svemu po projektu,šemama i upustvu proizvođača.</t>
  </si>
  <si>
    <t>Nabavka i polaganje poklopne ploče na žardinjerama od prirodnog kamena, granita d=3cm. Polaže se na sloju cementnog maltera. Kamen - granit - po projektu. Širine ~17cm. Raditi po projektu i detalju D38. Obračun po m1.</t>
  </si>
  <si>
    <r>
      <rPr>
        <sz val="10"/>
        <rFont val="Calibri"/>
        <family val="2"/>
      </rPr>
      <t>€</t>
    </r>
    <r>
      <rPr>
        <sz val="10"/>
        <rFont val="Arial"/>
        <family val="2"/>
      </rPr>
      <t>/m2</t>
    </r>
  </si>
  <si>
    <t xml:space="preserve">Nabavka materijala i postavljanje podne obloge od  laminata, lepljen, debljine 11mm, za najteža opterećenja (klasa 33), po izboru projektanta. Laminat mora da bude jak, trajan i visokopresovan, a nosač ploča visoke gustine, HDF, ivice impregnirane. Podnu oblogu uneti, raspakovati i ostaviti 24 časa da se aklimatizuje u atmosferi prostorije. Lepak mora biti kvalitetan i stabilan. </t>
  </si>
  <si>
    <t xml:space="preserve">Izrada i montaža punih jednokrilnih, delom zastakljenih  vrata od eloksiranih al. profila obostrano obložena ravnim eloksiranim al. limom, sa termo ispunom.Vrata su  u prirodnoj boji aluminijuma - silver mat RAL 9007.Unutar vrata predvideti zastakljeni deo sa jednostrukim, providnim staklom 4mm.
</t>
  </si>
  <si>
    <t>Izrada i montaža zastakljenih dvokrilnih vrata od eloksiranih al. profila obostrano obložena ravnim eloksiranim al. limom, sa termo ispunom.
Vrata su zastakljena jednostrukim sigurnosnim staklom debljine 8 mm sa soklom 10cm.
Vrata izvesti sa svim potrebnim okovima, dihtunzima, šarkama, odbojnicima, bravom i mehanizmom za samozatvaranje, cilindrom za zaključavanje. Okov mora biti kompletan, kvalitetan i antikorozivno zaštićen.</t>
  </si>
  <si>
    <t>U jediničnu cenu uračunati i ugrađivanje odgovarajućeg slepog štoka od kutijastih profila. Isporuka sa pripadajućim okovima. Vrata su u prirodnoj boji aluminijuma - silver mat RAL9007.
Sve ostalo raditi prema šemi i merama uzetim na licu mesta.</t>
  </si>
  <si>
    <t>Nabavka i polaganje aluminijumskih traka-razdelnica na sastavima različitih podova. Trake su širine 40mm, šrafe se u pod mesinganim šrafovima, preko tiplova.</t>
  </si>
  <si>
    <t xml:space="preserve">
</t>
  </si>
  <si>
    <r>
      <t xml:space="preserve"> - Sloj za pad: Preko sloja termoizolacije postaviti dva sloja PE folije i izraditi sloj za pad od lako betona minimalne debljine  d</t>
    </r>
    <r>
      <rPr>
        <sz val="9"/>
        <rFont val="Arial"/>
        <family val="2"/>
      </rPr>
      <t>min</t>
    </r>
    <r>
      <rPr>
        <sz val="10"/>
        <rFont val="Arial"/>
        <family val="2"/>
      </rPr>
      <t>=3cm kao zaštitu izolacije. Mikroarmiranje betonskog sloja za pad, makro sintetičkim, strukturnim vlaknima dužine 54 i ekvivalentnog promera 0,342mm, u količini od 1,5kg/m3 betona.</t>
    </r>
  </si>
  <si>
    <t xml:space="preserve"> - Sloj za pad: Preko sloja termoizolacije postaviti dva sloja PE folije i izraditi sloj za pad od lako betona  debljine d=3-6cm kao zaštitu izolacije. Mikroarmiranje betonskog sloja za pad, makro sintetičkim, strukturnim vlaknima dužine 54 i ekvivalentnog promera 0,342mm, u količini od 1,5kg/m3 betona.</t>
  </si>
  <si>
    <t xml:space="preserve"> - Sloj za pad: Preko sloja termoizolacije postaviti dva sloja PE folije i izraditi sloj za pad od lako betona  debljine d=10-11cm kao zaštitu izolacije. Mikroarmiranje betonskog sloja za pad, makro sintetičkim, strukturnim vlaknima dužine 54 i ekvivalentnog promera 0,342mm, u količini od 1,5kg/m3 betona.</t>
  </si>
  <si>
    <t xml:space="preserve"> - Sloj za pad: postaviti dva sloja PE folije i izraditi sloj za pad od lako betona  debljine dmin=3cm kao zaštitu izolacije. Mikroarmiranje betonskog sloja za pad, makro sintetičkim, strukturnim vlaknima dužine 54 i ekvivalentnog promera 0,342mm, u količini od 1,5kg/m3 betona.</t>
  </si>
  <si>
    <t>Izrada i montaža punih jednokrilnih i dvokrilnih  vrata od eloksiranih al. profila obostrano obložena ravnim eloksiranim al. limom, u prirodnoj boji aluminijuma - silver mat RAL 9007.Vrata su sa termo ispunom.</t>
  </si>
  <si>
    <t>Izrada i montaža zastakljene pregrade od eloksiranih al. profila obostrano obložena ravnim eloksiranim al. limom, sa termo ispunom.
Pregrada je zastakljena jednostrukim sigurnosnim staklom debljine 8 mm sa soklom 10cm.
Vrata izvesti sa svim potrebnim okovima, dihtunzima, šarkama, odbojnicima, bravom i mehanizmom za samozatvaranje, cilindrom za zaključavanje. Okov mora biti kompletan, kvalitetan i antikorozivno zaštićen.</t>
  </si>
  <si>
    <t>Raditi u svemu prema detalju proizvođača i prema šemi.</t>
  </si>
  <si>
    <t>Pregrada treba da zadovolji traženi koeficijent prolaza toplote Uw&lt;1,2W/m2K i faktorom propustljivosti sunčevog zračenja g=0,35.
Oblik, boja i materijal vidnih delova okova po katalogu proizvođača i izboru projektanta.</t>
  </si>
  <si>
    <t>Izrada i montaža fasadne pregrade :
U fasadnu konstrukciju se ugrađuje fasadna pregrada u ramu od aluminjumskih profila sa termičkim prekidom. Površinska obrada profila: Eloksaža u sloju od min 20μm u tonu crne-grafitne (E 5). Svi čelični delovi konstrukcije treba da su toplo cinkovani (klasa antikorozivne zaštite C3), a vidni delovi bojeni bojom namenjenom za nanošenje na bojene metale u tonu E 5.Zastakljivanje: Termoizolacionim staklo paketima</t>
  </si>
  <si>
    <t>Na fiksnim fasadnim poljima:
5.5.2 (10.76mm) laminirano providno niskoemisiono staklo, 16mm ,4.4.2 (8.76mm) laminirano providno niskoemisiono staklo.
Unutar pregrade, na unutrašnjoj strani fasade ugrađuje se element zaštite od sunca unutrašnji "screen" zastor na elektromotorni pogon. ispred gornjeg profila aluminarije. Zastor se sastoji iz mehanizma i "fiberglass" platna.</t>
  </si>
  <si>
    <t>Navojna cev u motornom pokretanju sadrži integrisan tih ili bešuman motor sledećih performansi: 230V, 50Hz, sa brzinom od 26 obtaja u minuti i obrnutim momentom od 4Nm, za podiznu masu od 15kg ili sl. Motor je termički predzaštićen od pregrejavanja.
Oblik, boja i materijal vidnih delova okova po katalogu proizvođača i izboru projektanta. 
Spoljašnji solbanici su od eloksiranog aluminijumskog lima u tonu.</t>
  </si>
  <si>
    <t>Konstrukciju čine ramovi od ekstrudiranog aluminijuma dok su aluminijumske lamele ekstrudirani profili; gornje vodilice imajau ubačeno kovano telo; točkići treba da imaju okrugle nosače koji dozvoljavaju da zastor lako i nesmetano može da klizi i posle mnogo godina funkcionisanja; donje vođice treba da imaju nerđajuće čelične osovine u kombinaciji sa gumenom oblogom za ultra lagano klizanje zastora; svi fiksatori treba da su od nerđajućeg čelika.</t>
  </si>
  <si>
    <t>Kontrolni sistem motorno.
Konfiguracija lamela se odnosi na definisanje nivoa zasenčenosti, tj podešavanje ugla, pomera se razmak od centra do centra svake lamele što utiče na nivo zasenčenja, što će biti precizirano naknadno, u dogovoru sa investitorom i projektantom</t>
  </si>
  <si>
    <t>Izrada i montaža fasadne pregrade :
U fasadnu konstrukciju se ugrađuje fasadna pregrada u ramu od aluminjumskih profila sa termičkim prekidom. Površinska obrada profila:                              Eloksaža u sloju od min 20μm u tonu crne-grafitne (E 5). Svi čelični delovi konstrukcije treba da su toplo cinkovani (klasa antikorozivne zaštite C3), a vidni delovi bojeni bojom namenjenom za nanošenje na bojene metale u tonu E 5.</t>
  </si>
  <si>
    <t>Izrada i montaža fasadnih vrata:
U fasadnu konstrukciju se ugrađuju dvokrilna vrata, sa termičkim prekidom.
Površinska obrada profila: Eloksaža u sloju od min 20μm u tonu crne-grafitne (E 5). Oblik, boja i materijal vidnih delova okova po katalogu proizvođača i izboru projektanta.</t>
  </si>
  <si>
    <r>
      <t xml:space="preserve">Dvokrilna staklena PP vrata sa nadsvetlom. Protivpožarna vrata vatrootpornosti </t>
    </r>
    <r>
      <rPr>
        <b/>
        <sz val="10"/>
        <rFont val="Arial"/>
        <family val="2"/>
      </rPr>
      <t xml:space="preserve">60 minuta. </t>
    </r>
    <r>
      <rPr>
        <sz val="10"/>
        <rFont val="Arial"/>
        <family val="2"/>
      </rPr>
      <t xml:space="preserve">    
Izrada i montaža unutrašnjih dvokrilnih staklenih čeličnih vrata sa mehanizmom za samozatvaranje.
Ram vrata je od čeličnih profila. Krilo se sastoji od čelične konstrukcije sa ispunom od sloja otporne termoizolacije, a zastakljeno specijalnim, sigurnosnim vatrootpornim pampleks staklom 4.1.4 sa stabilnim UV gelom.Vrata snabdeti odgovarajućim okovom i cilinder bravom za zaključavanje.</t>
    </r>
  </si>
  <si>
    <t>Protivdimna vrata sa mehanizmom sa samozatvaranje.
Ram i okvir krila izvesti od kutijastih profila ankerovanih u zid čeličnim trakama.
Krilo vrata obostrano obeleženo dekapiranim limom debljine 1.5mm (sa posebnim ukrućenjima),
dok je ispuna između limova od mineralne vune, sa ekspandirajućim zaptivnim trakama u svemu prema propisima 
za protivdimna vrata. Dihtovanje vrata izvršiti protiv-požarnom dihtung trakom.</t>
  </si>
  <si>
    <t>Sve metalne delove zaštititi antikorozivnim premazom u dva sloja i završno visokokvalitetnom bojom za metal. Okov mora biti kompletan, kvalitetan i antikorozivno zaštićen, u svemu prema izboru Autora. 
Vrata se ugrađuju u zidu od gips kartonskih ploča od 15cm.</t>
  </si>
  <si>
    <t>Izrada i montaža spoljnih metalnih montažno-demontažnih žaluzina. Žaluzine uraditi od čeličnog lima debljine 1.5mm. Lamele žaluzina montirati na čelične kutije 5x5cm (potkonstrukciju na osovinskom razmaku od 1.0m). prema unutrašnjem prostoru postaviti pocinkovano žičano platno , - žica  Ø 0..8mm, a otvor okca 5.7mm/5.7mm. Svi metalni delovi se miniziraju i boje u dva sloja bojom za metal u ral 7016 - grafitno-crna.</t>
  </si>
  <si>
    <t>Žaluzine se ugrađuju u fasadu od giter bloka 19cm, termoizolaciji 12cm i rabic malter.
Sav materijal za izradu žaluzine, materijal za pričvršćivanje i izradu izolacije na spojevima sa fasadnom oblogom punih delova fasade, kao i sve dekorativne opšivke sa spoljne i unutrašnje strane, spadaju u obim radova ove pozicije.</t>
  </si>
  <si>
    <r>
      <t xml:space="preserve">Zidarska mera 2420/395cm oznaka šeme </t>
    </r>
    <r>
      <rPr>
        <b/>
        <sz val="10"/>
        <rFont val="Arial"/>
        <family val="2"/>
      </rPr>
      <t xml:space="preserve">  F61</t>
    </r>
  </si>
  <si>
    <t>Rukohvat je izgrađen od čeličnih inoks kutija 80x30mm koji se fixira.
Ogradu fiksirati za noseću AB konstrukciju i to bočno ankerovanjem.Visina ograde h=110cm.</t>
  </si>
  <si>
    <t>Izgradnja i montaža staklene ograde na platou.
Ograda je izgrađena od čeličnih inoks profila.
Stubići su flahovi: 2x # 50/8 mm .Horizontale su sajle ∅0.5mm na rastojanju od 15cm i 10cm koje su zatezačima sajli razapete između stubića izgrađenih od čeličnih inoks flahova # 35x14mm. Na stubiće bočno fiksirati staklenu ogradu od kaljenog, laminiranog stakla 10mm.</t>
  </si>
  <si>
    <t>Rukohvat je izgrađen od čeličnih inoks kutija 80x30mm koji se fixira .
Ogradu fiksirati za noseću AB konstrukciju.                Visina ograde h=110cm.</t>
  </si>
  <si>
    <t>Merdevine - penjalice se sastoje od gazišta i rukohvata izrađenih od bezšavnih cevi Ø30mm u svemu prema šemi. Nosači su ankerovani u konstrukciju.  Širina merdevina je 60cm, visina penjanja 223cm. Merdevine i rukohvat se zaštitno boje protiv korozije i finalnom bojom za metal u tonu po izboru projektanta.</t>
  </si>
  <si>
    <t>Nabavka i montaža svetlosnih kupola sa otvaranjem. Nadsvetlarnik je dim. 100/100cm, h=30cm sa termoizolovanim postoljem. Okvir je od al. profila i integrisan je u zid podnožja za mehaničko pričvršćivanje izolacije, sa dvoslojnom površinom za osvetljenje od akrilnog (polikarbonatnog) -veralite-  teško gorivi, ne goreći kapajući materijal opal providne boje.</t>
  </si>
  <si>
    <t>Zastakljivanje se vrši sigurnosnim-pamplex (kaljeno, laminirano) staklom 6.6.2mm. Zastakljeni pokrivač izvesti u blagom padu od fasade. 
Na poziciji nadstrešnice treba predhodno proračunati ojačanje fasadnih profila za nošenje. Nadstrešnica je predvidjena kao paket koga čine podkonstrukcija sa staklom i "spider" sistemom.</t>
  </si>
  <si>
    <t>• Otpor na grebanje treba biti veći ili jednak 3,5 N prema ISO 4586- EN 438.
• Sastav i izrada panela je optimizovan za spoljnu primenu, što znači da površina panela neće erodiorati ili izbledeti zbog izloženosti sunčevim zracima.
 Površina panela mora biti otporna na uobičajena sredstva za čišćenje, uključujući i odstranjivače grafita (kao što su aceton, razrjeđivači za boju, špiritus, i sl.) i mora zadovoljiti merenja  ugljene prašine prema TNO Delft, mereno pomoću aparata koji meri stepen do kojeg površina izbledi pod uticajem sunca, prema Helmen Shalking uzorku tip H100 i u kombinaciji sa Xenon testom.
Potrebno je da proizvod ima vatrootporni kvalitet (smeđe jezgro).</t>
  </si>
  <si>
    <r>
      <t xml:space="preserve">Protivpožarna vrata vatrootpornosti </t>
    </r>
    <r>
      <rPr>
        <b/>
        <sz val="10"/>
        <rFont val="Arial"/>
        <family val="2"/>
      </rPr>
      <t xml:space="preserve">90 minuta.  </t>
    </r>
    <r>
      <rPr>
        <sz val="10"/>
        <rFont val="Arial"/>
        <family val="2"/>
      </rPr>
      <t xml:space="preserve">   
Izrada i montaža unutrašnjih dvokrilnih punih, čeličnih vrata sa mehanizmom za samozatvaranje sa pragom od 5cm.
Ram vrata je od čeličnih profila. Krilo se sastoji od čelične konstrukcije sa ispunom od sloja otporne termoizolacije, 
a obostrano su obložena čeličnim limom. 
Vrata snabdeti odgovarajućim okovom i cilinder bravom za zaključavanje. 
</t>
    </r>
  </si>
  <si>
    <r>
      <t xml:space="preserve">Protivpožarna vrata vatrootpornosti </t>
    </r>
    <r>
      <rPr>
        <b/>
        <sz val="10"/>
        <rFont val="Arial"/>
        <family val="2"/>
      </rPr>
      <t xml:space="preserve">90 minuta.  </t>
    </r>
    <r>
      <rPr>
        <sz val="10"/>
        <rFont val="Arial"/>
        <family val="2"/>
      </rPr>
      <t xml:space="preserve">   
Izrada i montaža unutrašnjih jednokrilnih punih, čeličnih vrata sa mehanizmom za samozatvaranje.
Ram vrata je od čeličnih profila. Krilo se sastoji od čelične konstrukcije sa ispunom od sloja otporne termoizolacije, 
a obostrano su obložena čeličnim limom. Vrata snabdeti odgovarajućim okovom i cilinder bravom za zaključavanje. 
Okovi, kvaka i brave i ostali  ugradni elementi moraju imati atest za protivpožarnost 90 minuta.
Finalna obrada vrata je bojenje bojom za metal otpornom na požar, uz predhodno miniziranje.
Dihtovanje vrata će se izvršiti protivpožarnom dihtung trakom.</t>
    </r>
  </si>
  <si>
    <r>
      <t xml:space="preserve">Okovi, kvaka i brave i ostali  ugradni elementi moraju imati atest za protivpožarnost 60 minuta.
Finalna obrada vrata je bojenje bojom za metal otpornom na požar, uz predhodno miniziranje.
Dihtovanje vrata će se izvršiti protivpožarnom dihtung trakom. </t>
    </r>
    <r>
      <rPr>
        <b/>
        <sz val="10"/>
        <rFont val="Arial"/>
        <family val="2"/>
      </rPr>
      <t>Vrata moraju biti atestirana po SRPS.U.J1.160</t>
    </r>
  </si>
  <si>
    <t>Obračun po kom finalno obrađeno i ugrađeno.</t>
  </si>
  <si>
    <r>
      <t xml:space="preserve">Okovi, kvaka i brave i ostali  ugradni elementi moraju imati atest za protivpožarnost 60 minuta.
</t>
    </r>
    <r>
      <rPr>
        <b/>
        <sz val="10"/>
        <rFont val="Arial"/>
        <family val="2"/>
      </rPr>
      <t>Pripremiti štok vrata za ugradnju prihvatnika                ( brave ) za kontrolu pristupa ( prema elektro projektu 2014U018E04 ).</t>
    </r>
    <r>
      <rPr>
        <sz val="10"/>
        <rFont val="Arial"/>
        <family val="2"/>
      </rPr>
      <t xml:space="preserve">
Finalna obrada vrata je bojenje bojom za metal otpornom na požar, uz predhodno miniziranje.
Dihtovanje vrata će se izvršiti protivpožarnom dihtung trakom. Pregrada se fiksira šrafljenjem u finalno obrađen pod i plafon.
</t>
    </r>
    <r>
      <rPr>
        <b/>
        <sz val="10"/>
        <rFont val="Arial"/>
        <family val="2"/>
      </rPr>
      <t>Vrata moraju biti atestirana po SRPS.U.J1.160</t>
    </r>
  </si>
  <si>
    <r>
      <t xml:space="preserve">Vrata se ugrađuju u zidu od giter bloka od 20cm.
</t>
    </r>
    <r>
      <rPr>
        <b/>
        <sz val="10"/>
        <rFont val="Arial"/>
        <family val="2"/>
      </rPr>
      <t>Vrata moraju biti atestirana po SRPS.U.J1.160.</t>
    </r>
  </si>
  <si>
    <r>
      <t xml:space="preserve">Zidarska mera 100/215cm oznaka šeme </t>
    </r>
    <r>
      <rPr>
        <b/>
        <sz val="10"/>
        <rFont val="Arial"/>
        <family val="2"/>
      </rPr>
      <t>1b</t>
    </r>
  </si>
  <si>
    <r>
      <t>Protivpožarna vrata sa nadsvetlom vatrootpornosti</t>
    </r>
    <r>
      <rPr>
        <b/>
        <sz val="10"/>
        <rFont val="Arial"/>
        <family val="2"/>
      </rPr>
      <t xml:space="preserve"> 60 minuta.  </t>
    </r>
    <r>
      <rPr>
        <sz val="10"/>
        <rFont val="Arial"/>
        <family val="2"/>
      </rPr>
      <t xml:space="preserve">   
Izrada i montaža unutrašnjih dvokrilnih staklenih čeličnih vrata sa mehanizmom za samozatvaranje.
Ram vrata je od čeličnih profila. Ram vrata je od čeličnih profila. Krilo se sastoji od čelične konstrukcije sa ispunom od sloja otporne termoizolacije, a zastakljeno specijalnim, vatrootporni sigurnosnim pampleks staklom 4.1.4  sa stabilnim UV gelom.Vrata snabdeti odgovarajućim okovom i cilinder bravom za zaključavanje.</t>
    </r>
  </si>
  <si>
    <t>prizemlje =(0,2*4,92*24,35)*1,01</t>
  </si>
  <si>
    <t>1 sprat =(0,2*3,82*(2,6*3+4,73+5,28*2-0,4)-0,2*1,2*2,15-0,2*0,9*2,15*2)*1,01</t>
  </si>
  <si>
    <t>2 sprat =(0,2*5,89*(2,6*3+2,8+3,1+5,1+5,45)-0,2*(1,1*1+0,9*2)*2,15)*1,01</t>
  </si>
  <si>
    <t>podrum =(0,2*3,65*84,15+0,2*1,5*(1*7+0,9*4+1,5+1,2)+0,2*3,97*103,47+0,2*1,65*(1*19+0,9*4+1,5*4))*1,01</t>
  </si>
  <si>
    <t>prizemlje =(0,2*4,82*(0,45+1,3+3,5*2+1,55+4,15*2+2,57)-0,2*2,15*(0,9*1+1*2))*1,01</t>
  </si>
  <si>
    <t>1 sprat =(0,2*3,82*(1,6+2,95+4,15*2+2,57+2,6*6)-0,2*2,15*(0,9+1*2+1,6))*1,01</t>
  </si>
  <si>
    <t>2 sprat =(0,2*3,82*(1,6+2,95+4,15*2+2,57)-0,2*2,15*(0,9*2+1))*1,01</t>
  </si>
  <si>
    <t>podrum - suteren =0,2*(3,97*(2,51+12,1+2*2,51+8,61+3,32+3,52)-2,15*(2*1,2+4*1)+3,87*5,9+4,5*3+3,69*5,9-1*2,15+8,46+5,31+7,68+2,57*7,68+2,06*3,6-1*2,15-1,6*2,15)*1,01</t>
  </si>
  <si>
    <t>prizemlje =0,2*(4,5*(5,1+5,2)-2*1,6*2,15+4,5*(5,5+5,3+5,4+5,3)-1,6*2,15+4,82*(2,8+6,01)+4,5*2*(5,45+2,15)-2*1*2,15-2,16*2,15-2,16*4,5)*1,01</t>
  </si>
  <si>
    <t>1. sprat =0,2*(3,82*2,41+3,5*(5,6+3,05+2,2)-2*1*2,15)*1,01</t>
  </si>
  <si>
    <t>2. sprat =0,2*(3,82*(2,41+0,45)+3,5*(5,6+3,05+2,2)-2*1*2,15)*1,01</t>
  </si>
  <si>
    <t>prizemlje =(0,2*4,92*96,25-0,2*4*2,4*11-0,2*1*2,4*3-0,2*2*2,4*3-0,2*5,5*3,5)*1,01</t>
  </si>
  <si>
    <t>1 sprat =(0,2*3,82*(36,4*2-6,4-0,4*6+3,1*2+4*2+0,8*2)-0,2*(2,1*2+3,1*2+4*5+2*4+1,8*2+3+2,9)*2,5)*1,01</t>
  </si>
  <si>
    <t>2 sprat =(0,2*3,5*(5,6*6+0,8*2)-0,2*2,5*(4*5+1*2)-0,2*3*2+0,2*5,89*(5,6*8+3,1*2)-0,2*2,7*(0,8*2+1*6)-0,2*3,75*(5,6*2+2,8*2))*1,01</t>
  </si>
  <si>
    <t>nadzidci - parapeti na ravnim krovovima =(0,2*0,6*(0,8*2+5,6*6)+0,2*0,9*5,6*8+0,2*0,6*(4,8*2+35,6)+0,2*1,6*36,7+0,2*1,05*(104,2+36,7+5,5*2))*1,01</t>
  </si>
  <si>
    <t>prizemlje =(0,2*4,5*(5,45*8+5,5*10+5,55*14+4,5*1)-0,2*4*2*13-0,2*5,32*3,5-0,2*5,37*3,5-0,2*1,3*2-0,2*2*2-0,2*2*3,5-0,2*1,27*2,5-0,2*1,39*3*2-0,2*4,05*2,5*9-0,2*3,05*2,5)*1,01</t>
  </si>
  <si>
    <t>1 sprat =(0,2*3,5*(5,6*33+4,5+0,8*2+0,4*2)-0,2*3*(6,5+0,66*2)-0,2*3*5,3-0,2*2,8*1,6-0,2*2,5*1*36-0,2*2,5*4,05*5-0,2*2,5*3,05*1-0,2*2,5*2,05*3-0,2*2,5*1,05*1)*1,01</t>
  </si>
  <si>
    <t>2 sprat =(0,2*3,5*(5,6*32+4,5+0,8*2)-0,2*3*(5,6+0,8*2)-0,2*3*5,6-0,2*2,8*1,6-0,2*2,5*1*44-0,2*2,5*4,05*5-0,2*2,5*2,05*3-0,2*2,5*1,05-0,2*2,5-3,05)*1,01</t>
  </si>
  <si>
    <t>nadzidci - na ravnim krovovima =(0,2*1,05*(169,6+72))*1,01</t>
  </si>
  <si>
    <t>podrum - suteren =0,2*(3,48*(5,45+5,5)-(1,2*3+1,8*3*3)+3,98*5,4-(0,11+0,17+0,22+0,35+0,42)+3,32*(5,4+5,3)-(0,75+0,5+0,85+0,7+0,64+0,61+0,31+0,36+0,42+0,27)+3,62*5,15+3,07*3*5,6-2*2*2,15)*1,01</t>
  </si>
  <si>
    <t>prizemlje =((4,5*(3,05+2,05)+4*(5,5+1,38)-(4,95+2,2))+(4,5*(5,15+5,6+5,55)-4*(5,6+5,55))+(4,23*(5,45+5,5+5,3+5,4+5,3)-3,23*(5,3+5,4)-2*1*3,93-(1,01+1,09+1,06+1,25+0,82+0,43+1,3+1,14+1,3+0,59))+(4,5*(5,555*2+5,5+5,45)-9*4-6*2,2))*1,01</t>
  </si>
  <si>
    <t>1. sprat =0,2*(3,2*5,6*4+3,5*5,6*8+4*3,82+4,14*24+1,6*4,14+3,5*3,1+3,5*(3,05+2,2)-(15*2,37+4*2,25+3*5,14+4*2,14+4*2,34+19*3))*1,01</t>
  </si>
  <si>
    <t>2. sprat =0,2*(5,6*(6+4+2+2+4+3,1)*3,5-(11*2,36+2,24*4+2,28*1+2*2,33+1,34*6+1,5*2+1,9*3+3,4*2+1,6*1+3*15+5,14*2)+3,5*(2,2+3,05))*1,01</t>
  </si>
  <si>
    <t>nadzidci - na ravnim krovovima =0,2*1,05*(131,85+30,75+37,7)</t>
  </si>
  <si>
    <t>2 sprat (mašinska sala) =(3,75*5,6*2)*1,01</t>
  </si>
  <si>
    <t>podrum =(3,97*(5,5*2+5,55+5,4))</t>
  </si>
  <si>
    <r>
      <rPr>
        <b/>
        <sz val="10"/>
        <rFont val="Arial"/>
        <family val="2"/>
      </rPr>
      <t>d) Instalaterski zidovi kanala iznad ravni krova</t>
    </r>
    <r>
      <rPr>
        <sz val="10"/>
        <rFont val="Arial"/>
        <family val="2"/>
      </rPr>
      <t xml:space="preserve"> (detalj D19) =0,6*(2,7+2,8)+0,6*(3,1+2,8+2,7*3+3,7)+0,6*(3,2+3,3)</t>
    </r>
  </si>
  <si>
    <t>prizemlje =(4,75*(120,1+0,31*2*18+0,21*2*4)-(4*2-3)*11+0,2*(4+2)*2*11-(2*2,4-3)*3+0,2*(2+2,4)*2*3-(2*2,4+2,75*3,5-3)*2+0,2*(4,75+2+3,5*2)*2+4,75*(25+9,1+8,6+7,6)+4,75*(21,4+14,1+18)+4,75*0,5*4*12)*1,01</t>
  </si>
  <si>
    <t>1 sprat =(3,82*(104,1+0,21*2*11)-(2,1*2,5-3)*2+0,2*(2,1+2,5)*2*2-(3,1*2,5-3)*2+0,2*(3,1+2,5)*2*2-(4*2,5-3)*5+0,2*(4+2,5)*2*5-(2*2,5-3)*4+0,2*(2+2,5)*2*4-(1,8*2,5-3)*2+0,2*(1,8+2,5)*2*2-(3*2,5-3)*1+0,2*(3+2,5)*2*1-(2,9*2,5-3)+0,2*(2,9+2,5)*2*1+3,82*(10,75+12+7,1+8,9+9+39,5)+3,82*0,4*4*8)*1,01</t>
  </si>
  <si>
    <t>2 sprat =(5,89*(108,1+0,21*2*20-2,1*2)-(4*2,5-3)*5+0,2*(4+2,5)*2*5-(5,6*3,75-3)*2+0,2*(5,6+3,75)*2*2-(2,8*3,75-3)*2+0,2*(2,8+3,75)*2*2+5,89*(28,4+18+16,7+8,9+7,1+9))*1,01</t>
  </si>
  <si>
    <t>podrum =(3,87*(15,7+23,86+9,1*2+6,74+31,73+10,12+13,04+14,3+16,27+15,77+19,32+14,28+13,86+10,06+14,18+10,64)+3,55*(32,66+14,3+16,27+13,49+90,8+11,57+(10,1-1,85)*7+(11,58-2,59)*2+11,46-2,54+13,75+13,73+26,48+10,94*2+15,03+13,55+12,12)-(1,5*2,15-3)*10)*1,01</t>
  </si>
  <si>
    <t>prizemlje =(4,82*(15,7*2+9,09*2+9,7+8,3)+4,82*(20,7+42,25)+4,5*(84,85-20,7+168,1+5,95*2+0,31*(31*2+7*2)+1,62*3+0,5*13*4)-(4*2-3)*8+0,25*(4+2)*2*8-(5,32*3,5-3)+0,25*(5,32+3,5*2)-(5,37*3,5-3)+0,25*(5,37+3,5*2)-(2*2-3)-(2*3,5-3)+0,25*(2*3,5)*2-(1,27*2,5-3)-(1,39*3-3)*2-(3,05*2,5-3)*1+0,25*(3,05+2,5)*2)*1,01</t>
  </si>
  <si>
    <t>1 sprat =(3,82*(15,7*2+9,09*2+8,3*2)+3,82*(38+16,81)+3,5*(36+0,21*5*2)+3,5*0,4*4*12+3,5*(64,45+168,1+0,8*2+0,21*2*29)-(3*6,5+3*0,66*2-3)+0,25*(6,5+3+0,66*2)*2-(3*5,3-3)+0,25*(3+5,3)*2-(2,8*1,6-3)-(2,5*4,5-3)*5+0,25*(2,5+4,5)*2*5-(2,5*3,05-3)+0,25*(2,5+3,05)*2-(2,5*2,05-3)+0,25*(2,5*2,05)*2*3)*1,01</t>
  </si>
  <si>
    <t>2 sprat =(3,82*(15,7*2+9,09*2+8,3*2)+3,82*(38+16,81)+3,5*(0,4*4*17)+3,5*(64,45+168,1+0,8*2+0,21*2*29)-(5,6*3+0,8*2*3-3)+0,25*(5,6+3+0,8*2)*2-(5,6*3-3)+0,25*(5,6+3)*2-(2,8*1,6-3)-(2,5*4,05-3)*5+0,25*(2,5+4,05)*2*5-(2,5*2-3)*3+0,25*(2,5*2,05)*2*3-(2,5*3,05-3)+0,25*(2,5+3,05)*2*1)*1,01</t>
  </si>
  <si>
    <t>podrum - suteren =(3,87*26-(1,45*2,15-3)+8,46+9,4+3,55*1,4+5,3+3,97*(8,4+53-2,5+12*2+12,15+6,8+13,3+24,15+0,5*4)+2,57*7,5+3,45*82,65-(1,6*2,15-3)*4-(2*4-3)+0,15*(2+4)*2-(13-3)+0,15*(2,5*2+5,6+2,8)-(5,6*2,15-3)+(5,6+2,15)*2*0,15-(5,6*0,85-3)*2+0,15*(5,6+0,85)*2*2)*1,01+18,8*4,05*1,01</t>
  </si>
  <si>
    <t>prizemlje =(4,92*(157,05+49,6+11,4*2+0,25*4+27,7+0,5*4*9)-(5,6*4-3)+0,15*(5,6+4*2)-(5,45*4-3)*2+0,15*(5,45+4*2)*2-(5,55*4-3)+0,15*(5,55+4*2)*2-(4,13*4)-3+0,15*(4,13+4*2)-(1,5*3-3)-(1*3,93-3)*2-(3,05*2,5-3)-(2,1*2,5-3)+166*2+12,05*(9,15+4,82)+1,85+(6,85+5,35+4,1+3,45)*2)*1,01+18,8*2*5,03*1,01</t>
  </si>
  <si>
    <t>1 sprat =(3,82*(144+0,21*2*12+2,75*2+3,05*4+16,4+11,68+5,84+10,61+10,63+19,2)+3,82*(5,6*5+2,6*3+8,8*3,25)-(5,6*3,13-3)*5+0,2*(5,6+3,13)*2-(2,6*3,13-3)*3+0,2*(2,6+3,13)*2-(8,8*3,13-3)+0,2*(8,8+3,13)*2-(3,25*3,13-3)+0,2*(3,25+3,13)*2-(3,05*2,5-3)*4-(5,14-3)*2+(1,7*2+3*2)*2)*1,01+18,8*2*3,97*1,01</t>
  </si>
  <si>
    <t>2 sprat =(3,82*(132+0,21*2*16+2,75*2+3,05*4+16,4+11,68+5,84+10,61+10,63+19,2)+3,82*(5,6*5+2,6*3+8,8+3,25)-(5,6*3,13-3)*5+0,2*(5,6+3,13)*2-(2,6*3,13-3)*3+0,2*(2,6+3,13)*2-(8,8*3,13-3)+0,2*(8,8+3,13)*2-(3,25*3,13-3)+0,2*(3,25+3,13)*2-(3,05*2,5-3)*4-(5,14-3)*3+(1,7*2+3*2)*2)*1,01+18,8*2*3,82</t>
  </si>
  <si>
    <t>2 sprat (stubovi u prostoriji T2.05) =(3,82*(0,31+0,5)*2)*1,01</t>
  </si>
  <si>
    <t>1 sprat =(3,82*36-1,6*2,15)*1,01</t>
  </si>
  <si>
    <t>=(5,5+6+4,5+4,2+1,4*(2,6+2,9+2,8+4,2+4,4)+1,4+1,3+1+0,9+0,8*2)*1,01</t>
  </si>
  <si>
    <t>=(2,55*(1,4*3+1,22+0,92*2+1,7+1,2+1,6)+(1,18+0,33)*(2,7+3,02+3,32+3,43*2+3,7+3,12+2,78+3,05)+2,55*(1,4+0,92+1,7*2+1,21*2+1,28)+(1,18+0,33)*(3+3,45+3,73+2,75+3,02+2,68))*1,01</t>
  </si>
  <si>
    <t>=((1,31*2+1,7+2*2+1,61)*3,4*2+3,4*(2,04+11,5+1,7)+(2,5+2,8+3)*1,6+(3,5+3,9+3,45+3,4+2,75+2,75)*1,6*2+0,25*(2,5+2,8+3)+0,25*(3,5+3,9+3,45+3,4+2,75+2,95)*2)*1,01</t>
  </si>
  <si>
    <t>prizemlje =(4,5+5,1)*1,01</t>
  </si>
  <si>
    <t>1 sprat =(4,85+4,9+14,15+14,25)*1,01</t>
  </si>
  <si>
    <t>2 sprat =(4,85+4,85+481,8)*1,01</t>
  </si>
  <si>
    <t>podrum =367,43*1,01</t>
  </si>
  <si>
    <t>prizemlje =(8,23+5,08*2+5,11+4,04+61,99+5,41+17,04)*1,01</t>
  </si>
  <si>
    <t>1 sprat
=(227,08+4,43+18,77+26,28+12,24+9,14+9,83)*1,01</t>
  </si>
  <si>
    <t>2 sprat =19,27*1,01</t>
  </si>
  <si>
    <t>podrum =156,12-11,73-129,54</t>
  </si>
  <si>
    <t>prizemlje =(8,03+8+3,61)*1,01</t>
  </si>
  <si>
    <t>1 sprat =6,98*2*1,01</t>
  </si>
  <si>
    <t>2 sprat =6,98*2*1,01</t>
  </si>
  <si>
    <t>podrum =129,54</t>
  </si>
  <si>
    <t>1. sprat =(20,43+23,68+15,12+32,33)*1,01</t>
  </si>
  <si>
    <t>1. sprat =(19,47+3,55)*1,01</t>
  </si>
  <si>
    <t>1. sprat =10,36*1,01</t>
  </si>
  <si>
    <t>2. sprat =16,47*1,01</t>
  </si>
  <si>
    <t>prizemlje =3,65</t>
  </si>
  <si>
    <t>1. sprat =3,25</t>
  </si>
  <si>
    <t>2. sprat =3,87</t>
  </si>
  <si>
    <t>1. sprat =(10,39+10,53)*1,01</t>
  </si>
  <si>
    <t>1. sprat =(12,26+12,12+14,43+13,92+4,77+8,77+8,5+3,41+5,94)*1,01</t>
  </si>
  <si>
    <t>2. sprat =(7,07+12,19+10,45+9,62+3,25+8,52+8,51+3,38+7,58)*1,01</t>
  </si>
  <si>
    <t>prizemlje =31,08</t>
  </si>
  <si>
    <t>1. sprat =31,19</t>
  </si>
  <si>
    <t>2. sprat =31,21</t>
  </si>
  <si>
    <t>1. sprat =(159,55+16,52)*1,01</t>
  </si>
  <si>
    <t>2. sprat =(16,55+89,71+16,43+16,98)*1,01</t>
  </si>
  <si>
    <t>1. sprat =(12,35+11,51+10,72+14,06+16,19+19,58+15,22+26,3+10,32+14,16)*1,01</t>
  </si>
  <si>
    <t>prizemlje =(61,61+45,95+136,99+65,68)*1,01</t>
  </si>
  <si>
    <t>1. sprat =389,71</t>
  </si>
  <si>
    <t>2. sprat =252,10</t>
  </si>
  <si>
    <t>1. sprat =(61,61+45,95+136,99+65,68)*1,01</t>
  </si>
  <si>
    <t>2. sprat =(53,17+169,41+159,75)*1,01</t>
  </si>
  <si>
    <t>1. sprat =(15,91+14,3+13,34+13,82+13,66+4,43+15,15*2+8,78*2+8,73+21+18,97+26,28+12,24+19,42+20,03+9,14+9,74+9,57+9,48+10,6+13,11+13,91+9,83+25,36+13,67+42,39+34,08+32,21+20,05+20,25*2+20,3+20,29+15,37+15,12+13,88+10,74+12,13+5,97)*1,01</t>
  </si>
  <si>
    <t>2. sprat =12,75+9,96+11,11*2+43,17+20,12+16,9+15,1+7,55+14,06+12,57+21,84*3+9,4+23,6+12,61+8,09+21,07+10,42+18,72+10,11+9,95+17,81+21,46+27,51+59,51+21,31+21,05+29,69+51,37+40,72+62,46+30,12+37,84+39,84+13,45+20,81</t>
  </si>
  <si>
    <t>prizemlje =47,28</t>
  </si>
  <si>
    <t>=286,39-(51,1+88,2+14,8)*1,03+0,3*12,01*10*1,03+0,3*0,107*10*2*1,03</t>
  </si>
  <si>
    <t>prizemlje =15,96*1,01</t>
  </si>
  <si>
    <t>prizemlje =(10,51+2,77+10,37+2,79)*1,01</t>
  </si>
  <si>
    <t>podrum =(9,45+12,72+16,11+9,05+6,7*2)*1,01</t>
  </si>
  <si>
    <t>prizemlje =(17,54+20,56+2,93+8,1+9,2+9,09+9,3+3,36+4,42)*1,01</t>
  </si>
  <si>
    <t>podrum =(4,68+8,36+8,62+2,05)*1,01</t>
  </si>
  <si>
    <t>prizemlje =(10,91+10,92+11,25)*1,01</t>
  </si>
  <si>
    <t>prizemlje =(12,91+10,74+12,32+209,97+44,38)*1,01</t>
  </si>
  <si>
    <t>2. sprat =481,76*1,01</t>
  </si>
  <si>
    <t>1 sprat =208,77*1,01</t>
  </si>
  <si>
    <t>prizemlje =105,01</t>
  </si>
  <si>
    <t>prizemlje =(51,9+29,94+18,27+93,65+5,91+16,57+18)*1,01</t>
  </si>
  <si>
    <t>1. sprat =(15,68+16,24)*1,01</t>
  </si>
  <si>
    <t>podrum =13,52*1,01</t>
  </si>
  <si>
    <t>prizemlje =(111,31+20,67+51,42+113,12+33,3)*1,01</t>
  </si>
  <si>
    <t>prizemlje =(298,27+30,87-107-13,61)*1,01+21,01</t>
  </si>
  <si>
    <t>podrum =143,32</t>
  </si>
  <si>
    <t>prizemlje =(14,29+14,23+13,87+43,47+27,78+10,71+8,72+50,8+38,45+23,99+27,65+11,09+28,34+40,37+14,62+16,8)*1,01</t>
  </si>
  <si>
    <t>prizemlje =((8,23+20,91+17,06+61,99+5,41+36,22+21,15+19,29+47,87)+(75,45-31,81+9,3+42,07+34,93+53,06+7,65+43,14+44,5+90,39))*1,01</t>
  </si>
  <si>
    <t>prizemlje =(128,61+190,03+69,61+20,21-15,8)*1,03</t>
  </si>
  <si>
    <t>=(51,1+88,2)*1,03+14,8*1,03+0,9*9+12,01*1,03+0,3*0,107*9*2*1,03</t>
  </si>
  <si>
    <t>1. sprat =(4,81+4,9+14,14)*1,01</t>
  </si>
  <si>
    <t>prizemlje =5,08*2*1,01</t>
  </si>
  <si>
    <t>1. sprat =(5,08*2+4,08*2)*1,01</t>
  </si>
  <si>
    <t>2. sprat =(5,08*2+4,08*2)*1,01</t>
  </si>
  <si>
    <t>1. sprat =(6,98*2)*1,01</t>
  </si>
  <si>
    <t>2. sprat =(6,98*2)*1,01</t>
  </si>
  <si>
    <t>poprum -  kanal za instalacije =7,52*1,01</t>
  </si>
  <si>
    <t>prizemlje =(4,46+5,1+4,97)*1,01</t>
  </si>
  <si>
    <t>podrum =(4,97*3+5,09*2+2,38+4)*1,01</t>
  </si>
  <si>
    <t>prizemlje =(5,11+4,04+17,04)*1,01</t>
  </si>
  <si>
    <t>podrum =(9,9+9,12+9,02+8,92+32,13+11,73+8,9)*1,01</t>
  </si>
  <si>
    <t>prizemlje =(8,03+8)*1,03</t>
  </si>
  <si>
    <t>podrum - prostorija IP.39 - Otpad, PT5 =7,96</t>
  </si>
  <si>
    <t>podrum - Dizel, PT4 =41,74</t>
  </si>
  <si>
    <r>
      <t>Stomatologija i Uprava</t>
    </r>
    <r>
      <rPr>
        <sz val="10"/>
        <rFont val="Arial"/>
        <family val="2"/>
      </rPr>
      <t xml:space="preserve"> =5</t>
    </r>
  </si>
  <si>
    <r>
      <t xml:space="preserve">Istraživanje </t>
    </r>
    <r>
      <rPr>
        <sz val="10"/>
        <rFont val="Arial"/>
        <family val="2"/>
      </rPr>
      <t>=5*3</t>
    </r>
  </si>
  <si>
    <r>
      <t xml:space="preserve">Nastavni sadržaj </t>
    </r>
    <r>
      <rPr>
        <sz val="10"/>
        <rFont val="Arial"/>
        <family val="2"/>
      </rPr>
      <t xml:space="preserve"> =5</t>
    </r>
  </si>
  <si>
    <t>=(242,3+28,2)*1,01</t>
  </si>
  <si>
    <t>d=4cm, zaštita hidroizolacije podne ploče na tlu, dna i gornje ploče elektro instalacionog  - tunela, detalj D42
=(304,6+35,8)*2</t>
  </si>
  <si>
    <t>d=3cm, izravnavajući sloj i podloga hidroizolacije na gornjoj ploči elektro instalaterskog šahta - tunela, detalj D42
=304,6+35,8</t>
  </si>
  <si>
    <t>=0,2*0,2*2,5*1,02</t>
  </si>
  <si>
    <r>
      <t xml:space="preserve">a) Stomatologija i Uprava </t>
    </r>
    <r>
      <rPr>
        <sz val="10"/>
        <rFont val="Arial"/>
        <family val="2"/>
      </rPr>
      <t>=906,00</t>
    </r>
  </si>
  <si>
    <r>
      <t xml:space="preserve">b) Istraživanje </t>
    </r>
    <r>
      <rPr>
        <sz val="10"/>
        <rFont val="Arial"/>
        <family val="2"/>
      </rPr>
      <t>=1773,8</t>
    </r>
  </si>
  <si>
    <r>
      <t xml:space="preserve">c) Nastavni sadržaj </t>
    </r>
    <r>
      <rPr>
        <sz val="10"/>
        <rFont val="Arial"/>
        <family val="2"/>
      </rPr>
      <t>=1701,4</t>
    </r>
  </si>
  <si>
    <t>=(13,3*1,8-1,6*0,65)*2*1,02</t>
  </si>
  <si>
    <t>=3,97*(0,4*5+0,55*5)+4,82*(0,75*7+0,5*22)+3,82*(0,5*14+0,75*14)+3,82*(1,65*3+0,5*9+0,47*9+0,9*1)*1,05</t>
  </si>
  <si>
    <t>podrum =(3,65*(3,82+5,15+0,95)-1,2*2,15-1,15*1,2+3,97*(3,37+1,83)-1,5*1,15)*1,01</t>
  </si>
  <si>
    <t>prizemlje =(4,82*18,25-0,8*2,15*3)*1,01</t>
  </si>
  <si>
    <t>prizemlje =4,92*3,85*1,01</t>
  </si>
  <si>
    <t>prizemlje =4,92*(2,95*2+3,7)*1,01</t>
  </si>
  <si>
    <t>2 sprat =3,82*(0,41*2+0,65*1)*3*1,01</t>
  </si>
  <si>
    <t>prizemlje =4,92*2,5*1,01</t>
  </si>
  <si>
    <t>podrum - suteren =3,97*2,93*2</t>
  </si>
  <si>
    <t>prizemlje =4,5*3,22*2</t>
  </si>
  <si>
    <t>1. sprat =3,22*3,82*2</t>
  </si>
  <si>
    <t>2. sprat =3,22*3,82*2</t>
  </si>
  <si>
    <t>podrum =3,65*(1,85+0,25+1,1)*1,01</t>
  </si>
  <si>
    <t>prizemlje =4,82*2,05*4*1,01</t>
  </si>
  <si>
    <t>1 sprat =3,82*(2,05*2+3,37*2)*1,01</t>
  </si>
  <si>
    <t>2 sprat =3,82*(2,05+2,1*2)*1,01</t>
  </si>
  <si>
    <t>prizemlje =4,92*3,17*2*1,01</t>
  </si>
  <si>
    <t>1 sprat =3,82*3,17*2*1,01</t>
  </si>
  <si>
    <t>1 sprat =(3,82*(3,35+3,6+4,28*2)-1,2*2,15)*1,01</t>
  </si>
  <si>
    <t>2 sprat 
=(3,82*(15,15+12,52)+5,9*1,25*2-1,6*2,15*2)*1</t>
  </si>
  <si>
    <t>prizemlje =4,5*(2,19*2+3,5)</t>
  </si>
  <si>
    <t>1. sprat =3,82*(2,19*2+3,5)</t>
  </si>
  <si>
    <t>2. sprat =3,82*(2,19*2+3,5)</t>
  </si>
  <si>
    <t>prizemlje =4,82*(3,84+3,5+1,52*2)*1,01</t>
  </si>
  <si>
    <t>1. sprat =3,82*(1,56*2+1,2+2,61+3,5)*1,01</t>
  </si>
  <si>
    <t>2. sprat =3,82*(1,32+3,5+1,56*2+1,47*2+4,3)*1,01</t>
  </si>
  <si>
    <t>prizemlje =4,92*2,7*1,01</t>
  </si>
  <si>
    <t>podrum - suteren
=3,45*(6,6+2,05*2+2,35)+3,97*(5,98+0,4+2,15)-0,9*2,15*3</t>
  </si>
  <si>
    <t>prizemlje =4,5*6,02-0,9*2,15*2-1,1*2,15*1</t>
  </si>
  <si>
    <t>1. sprat =3,82*6,02-0,9*2,15*2-1,1*2,15</t>
  </si>
  <si>
    <t>2. sprat =3,82*6,02-0,9*2,15*2-1,1*2,15</t>
  </si>
  <si>
    <t>prizemlje =(4,82*(3,62*2+6,42+1,5*2+6,64*2+3,66*2+3,51*2+1,5*2+5,4+6,08+1,66*2)-0,9*2,15*8)*1,01</t>
  </si>
  <si>
    <t>1. sprat =(3,82*(3,85+4,06+8,75+3,5+3,06*2+5,6*3)-0,9*2,15*3)*1,01</t>
  </si>
  <si>
    <t>2. sprat =(3,82*(3,9*2+4*2+6,65+3,6+5,91*2+4,3+1,47*2+3,5+1,56*2)-0,9*2,15*3)*1,01</t>
  </si>
  <si>
    <t>prizemlje =(4,92*(4,08+3,77+3,15*2+3,45+3,7*2+2,55+2,58+4,35+2,85+2,5+2,46)-0,9*2,15*6)*1,01</t>
  </si>
  <si>
    <t>1 sprat =(3,82*(3,24*2+3,5+3,76+7,55)-0,9*2,15*2)*1,01</t>
  </si>
  <si>
    <t>podrum - suteren 
=3,45*(3,25*2+3,3)-0,9*2,15*1+1,65*(2,3+2,68+5,6)</t>
  </si>
  <si>
    <t>prizemlje =4,92*(36,01+8,31*2+3,78+5+3,5+1,9+3,55+5,45+2,1*2+1,85)-1,6*2,15*3-0,9*2,15*5-1,2*2,15*1+1,42*(6,06+2+8,8+9,8)+1,75*5,6</t>
  </si>
  <si>
    <t>1. sprat =3,82*(36,02+27,01+6,56*6+3,41*2+6,2+2,55+24,21+5,6+2,75+6,96*5-0,4+1,4+6,21)-1,6*2,15*6-1,2*2,15*8-0,9*2,15*9</t>
  </si>
  <si>
    <t>2. sprat =3,82*(5,81+8,6+6,46+18,06+3,41*2+6,2+2,55+5,6*3+2,65*2+2,45+8,66*5+23,96+4,02+27,06)-1,6*2,15*2-1,2*2,15*4-0,9*2,15*13</t>
  </si>
  <si>
    <t>prizemlje =(4,82*(12,77+4,65+2,2+3,6*2+2,3+2,34*2+6,01+2,05+5,45*16-1,55-1,5-2,3*5+5,95*2+6,05+2,45+6,4+30,1+3,3+3,12+3,65*2+9,27*3-0,21-0,4-3,51+1,2+21,3+1,95+0,7+11,4+3,35+1,7)-0,9*2,15*6-1,6*2,15*8-0,9*2,15-1,74*1,15-1,2*2,15*10-1,06*2,15-0,9*2,15+1,32*(2,76+3,1+5,5+5,55))*1,01</t>
  </si>
  <si>
    <t>1. sprat =(3,82*(31,67+6,06*4+5,6*11+6,66*2+1,03*2+8,4+2,34+3,66*8+3,26+24,25+3,65+3,06*2+3,45*2+2,8+5,01+2,2*2+5,31+3,8+7,1+4,02*2+26+3,45*2+3,66*5+6,5+2,75)+1,02*(3,05*2+3,26+2*2+3,91*2+4,03)-1,2*2,15*11-0,9*2,15*25-2*2,8-4,02*1,15)*1,01</t>
  </si>
  <si>
    <t>2. sprat =(3,82*(6,05*2+5,6*15+14,25+3,61*3+1,84+4,05*2+6,06*3+21,25+3,75+3*2+2,65+3,61*4+3,01+3,89+35,96+2,62+6,66+3,89*5+24+5,8+3,66*6+4,62+3+1,05+3,8+2,55+2,5+2)+1,05*(2*2+3,05*2)-1,2*2,15*11-0,9*2,15*14)*1,01</t>
  </si>
  <si>
    <t>prizemlje =(4,92*(4,08*3+4,16*5+2,75+3,85+5,81+7,88+15,48+28,28+9,7+3,03+2,63+4,35+15,44+2,73+5,45+5,5*2+1,96*2+3,18+2,75+4,05*2+1,57+3,88+7,65+2,6*2+2,75+2,15+5,45+0,8+7,06*2)-0,9*2,15*26-1*2,15-3*3,03-3*1,58*2-1*1,96)*1,01</t>
  </si>
  <si>
    <t>1 sprat =(3,82*(4,06*6-0,25*2+35,6-0,4*5+3,7*2+9,7+9,5+2,9*2+1,85+5,6+3,95+2,5*2+9,71*3+3,93*3-0,2)-0,9*2,15*15-1,6*2,15*1)*1,01</t>
  </si>
  <si>
    <t>=(5,89*10-1,1*2,15)*1,01</t>
  </si>
  <si>
    <r>
      <t xml:space="preserve">Nastavni sadržaj </t>
    </r>
    <r>
      <rPr>
        <sz val="10"/>
        <rFont val="Arial"/>
        <family val="2"/>
      </rPr>
      <t>=(0,5+0,2)*(85,9-12,2-2,65)*1,01</t>
    </r>
  </si>
  <si>
    <t>krov iznad 2 sprata i pasarele =(15,5*36+2,5*5,6*2+2,3*36,4)*1,01</t>
  </si>
  <si>
    <t>krov iznad dela 1 sprata =(5,8*36,4)*1,01</t>
  </si>
  <si>
    <t>krov iznad dela prizemlja =(2*36+5,8*36)*1,01</t>
  </si>
  <si>
    <r>
      <t xml:space="preserve">Istraživanje </t>
    </r>
    <r>
      <rPr>
        <sz val="10"/>
        <rFont val="Arial"/>
        <family val="2"/>
      </rPr>
      <t>=(1737-285,12)*1,01</t>
    </r>
  </si>
  <si>
    <t>krov objekta i krov iznad 1 sprata - neprohodna terasa
=36,25*29,9+36,25*6</t>
  </si>
  <si>
    <t>=(0,3*(15,5+36)*2+0,3*(2,3+36,4*2)*2+0,3*(2,5+5,6*2)+0,3*(5,8+36,4)*2+0,3*(2+36+5,8+36)*2)*1,01</t>
  </si>
  <si>
    <t>=((170+71,7)*0,3)*1,01</t>
  </si>
  <si>
    <t>=0,3*(36,25+29,9)*2*1+0,3*(36,25+6)*1</t>
  </si>
  <si>
    <t>=(0,8*(15,5+36)*2+0,8*(2,3+36,4)+0,8*(2,5+5,6*2)*2+0,3*(5,8*2+36,4)+0,3*(2*2+36+5,8*2+36))*1,01</t>
  </si>
  <si>
    <t>=((170+71,7)*0,8)*1,01</t>
  </si>
  <si>
    <t>=0,8*(36,25+29,9)*2*1,01+0,8*(36,25+6)*1,01</t>
  </si>
  <si>
    <t>=(1,2*(15,5+36)*2+1,2*(2,3+36,4)+0,3*36,4+1,2*(2,5+5,6*2)*2+0,75*(5,8*2+36,4)+0,3*36,4+0,75*(2*2+36+5,8*2+36)+0,3*36*2)*1,01</t>
  </si>
  <si>
    <t>=(170+71,7)*0,75*1,01</t>
  </si>
  <si>
    <t>0=(0,85+0,4)*(36,25+29,9)*2*1,01+(0,85+0,4)*(36,25+6)*1,01</t>
  </si>
  <si>
    <t>=(0,45*(15,5+36,8)*2+0,45*(2,3*2+36,8)+0,45*(2,5+6*2)*2+0,45*(5,8*2+36,8)+0,45*(2*2+36,4+5,8*2+36,4))*1,01</t>
  </si>
  <si>
    <t>=((170+71,7)*0,45)*1,01</t>
  </si>
  <si>
    <t>=0,5*(36,25+29,9)*2*1,01+0,5*(36,25+6)*1,01</t>
  </si>
  <si>
    <t>=(1173,26+1466,4+1301,38)*10%</t>
  </si>
  <si>
    <r>
      <t xml:space="preserve">Istraživanje </t>
    </r>
    <r>
      <rPr>
        <sz val="10"/>
        <rFont val="Arial"/>
        <family val="2"/>
      </rPr>
      <t>=(273,8-5,45*11,6)*1,01</t>
    </r>
  </si>
  <si>
    <r>
      <t xml:space="preserve">Nastavni sadržaj </t>
    </r>
    <r>
      <rPr>
        <sz val="10"/>
        <rFont val="Arial"/>
        <family val="2"/>
      </rPr>
      <t>=(77,9+48,2)*1,01</t>
    </r>
  </si>
  <si>
    <r>
      <t xml:space="preserve"> Nastavni sadržaj </t>
    </r>
    <r>
      <rPr>
        <sz val="10"/>
        <rFont val="Arial"/>
        <family val="2"/>
      </rPr>
      <t>=0,4*(28,4+35,3)*1,01</t>
    </r>
  </si>
  <si>
    <r>
      <t xml:space="preserve">Nastavni sadržaj </t>
    </r>
    <r>
      <rPr>
        <sz val="10"/>
        <rFont val="Arial"/>
        <family val="2"/>
      </rPr>
      <t>=0,7*(28,4+35,3)*1,01</t>
    </r>
  </si>
  <si>
    <r>
      <t xml:space="preserve">Nastavni sadržaj </t>
    </r>
    <r>
      <rPr>
        <sz val="10"/>
        <rFont val="Arial"/>
        <family val="2"/>
      </rPr>
      <t>=1,76</t>
    </r>
  </si>
  <si>
    <r>
      <t>Nastavni sadržaj</t>
    </r>
    <r>
      <rPr>
        <sz val="10"/>
        <rFont val="Arial"/>
        <family val="2"/>
      </rPr>
      <t xml:space="preserve"> =56,1</t>
    </r>
  </si>
  <si>
    <r>
      <t xml:space="preserve"> Nastavni sadržaj</t>
    </r>
    <r>
      <rPr>
        <sz val="10"/>
        <rFont val="Arial"/>
        <family val="2"/>
      </rPr>
      <t xml:space="preserve"> =0,7*(28,4+35,3)*1,01</t>
    </r>
  </si>
  <si>
    <r>
      <t xml:space="preserve">Nastavni sadržaj </t>
    </r>
    <r>
      <rPr>
        <sz val="10"/>
        <rFont val="Arial"/>
        <family val="2"/>
      </rPr>
      <t>=0,4*26,62</t>
    </r>
  </si>
  <si>
    <r>
      <t xml:space="preserve">Nastavni sadržaj </t>
    </r>
    <r>
      <rPr>
        <sz val="10"/>
        <rFont val="Arial"/>
        <family val="2"/>
      </rPr>
      <t>=0,8*26,62</t>
    </r>
  </si>
  <si>
    <r>
      <t xml:space="preserve">c) Nastavni sadržaj </t>
    </r>
    <r>
      <rPr>
        <sz val="10"/>
        <rFont val="Arial"/>
        <family val="2"/>
      </rPr>
      <t>=0,45*26,62</t>
    </r>
  </si>
  <si>
    <t>Oznaka u projektu RK2 =312,60</t>
  </si>
  <si>
    <r>
      <t xml:space="preserve"> Nastavni sadržaj</t>
    </r>
    <r>
      <rPr>
        <sz val="10"/>
        <rFont val="Arial"/>
        <family val="2"/>
      </rPr>
      <t xml:space="preserve"> =0,3*(85,9-12,2-2,65)*1,01</t>
    </r>
  </si>
  <si>
    <r>
      <t>Nastavni sadržaj</t>
    </r>
    <r>
      <rPr>
        <sz val="10"/>
        <rFont val="Arial"/>
        <family val="2"/>
      </rPr>
      <t xml:space="preserve"> =0,3*(85,9-12,2-2,65)*1,01</t>
    </r>
  </si>
  <si>
    <t>=0,6*(2,7+2,8)+0,6*(3,1+2,8+2,7*3+3,7)+0,6*(3,2+3,3)</t>
  </si>
  <si>
    <t>=(16,3*6,35+3,7*6,35)*1,02</t>
  </si>
  <si>
    <r>
      <t xml:space="preserve">a) Nastavni sadržaj </t>
    </r>
    <r>
      <rPr>
        <sz val="10"/>
        <rFont val="Arial"/>
        <family val="2"/>
      </rPr>
      <t>=7*3*1,02</t>
    </r>
  </si>
  <si>
    <t>=0,55*4*3</t>
  </si>
  <si>
    <t>RK5   =1*(36,4+0,24*2*5+0,24*2)*1,01</t>
  </si>
  <si>
    <t>=0,75*(5,6*5+5,6*2)*1,01</t>
  </si>
  <si>
    <t>E1b  =(32,3+0,26*23,9)*1,01</t>
  </si>
  <si>
    <t>E1; E2  =70,8</t>
  </si>
  <si>
    <t>E3  =41,18</t>
  </si>
  <si>
    <t>E4 ==(32,3+0,26*23,9)*1,01</t>
  </si>
  <si>
    <t>1 sprat =210,86</t>
  </si>
  <si>
    <t>2. sprat =486,58</t>
  </si>
  <si>
    <t>prizemlje =47,28+155,07+28,28+34,72</t>
  </si>
  <si>
    <t>2. sprat =846,40</t>
  </si>
  <si>
    <t>1. sprat =1107,60</t>
  </si>
  <si>
    <t>prizemlje =(10,61+39,97+10,26+6,2+10,96+25,68+35,97+42,93+42,07)*1,01</t>
  </si>
  <si>
    <t>1. sprat =(61,61+45,95+136,99+65,68+12,26+12,12+14,43+13,92+4,77+8,77+8,5+3,41+5,94+10,36+15,91+14,3+13,34+13,82+13,66+4,43+15,15*2+8,78*2+8,73+21+18,97+26,28+12,24+19,42+20,03+9,14+9,74+9,57+9,48+10,6+13,11+13,91+9,83+25,36+13,67+42,39+34,08+32,21+20,05+20,25*2+20,3+20,29+15,37+15,12+13,88+10,74+12,13+5,97+5,08*2+4,08*2)*1,01</t>
  </si>
  <si>
    <t>2. sprat =(53,17+169,41+159,75+7,07+12,19+10,45+9,62+3,25+8,52+8,51+3,38+7,58+16,47+12,75+9,96+11,11*2+43,17+20,12+16,9+15,1+7,55+14,06+12,57+21,84*3+9,4+23,6+12,61+8,09+21,07+10,42+18,72+10,11+9,95+17,81+21,46+27,51+59,51+21,31+21,05+29,69+51,37+40,72+62,46+30,12+37,84+39,84+13,45+20,81+5,08*2+4,08*2)*1,01</t>
  </si>
  <si>
    <t>1. sprat =(159,55+16,52+10,39+10,53+19,47+3,55+6,02+20,43+23,68+15,12+32,33+12,35+11,51+10,72+14,06+16,19+19,58+15,22+26,3+10,32+14,16+4,81+4,9+14,14)*1,01</t>
  </si>
  <si>
    <t>2. sprat =(16,55+89,71+16,43+16,98+4,81+4,92)*1,01</t>
  </si>
  <si>
    <t>PT10 - postavlja se preko hidroizolacije koja je zaštita ploče na tlu) =94,01</t>
  </si>
  <si>
    <t>podrum =317,17+90,62+141,32</t>
  </si>
  <si>
    <t>prizemlje =21,01+461,09+210,62+16,51+105,01</t>
  </si>
  <si>
    <t>podrum =512,86</t>
  </si>
  <si>
    <t>prizemlje =1105,1</t>
  </si>
  <si>
    <t>prizemlje 790,85</t>
  </si>
  <si>
    <t>=3,82*(0,31+0,5)*2*1,01</t>
  </si>
  <si>
    <t>podrum - suteren =1,7*6,5*1,02</t>
  </si>
  <si>
    <t>podrum - suteren =(8,5+9,7+2,55*1,7+4,2*2,75)*1,02</t>
  </si>
  <si>
    <t>1. sprat =(3,82*36-1,8*2,15)*1,01</t>
  </si>
  <si>
    <t>2 sprat =(5,89*10-1,1*2,15)*1,01</t>
  </si>
  <si>
    <t>=0,4*26,2*1,02+0,4*8,6*1,02</t>
  </si>
  <si>
    <t>=(2,4*2*13,35*2+2*4*3)*1,2</t>
  </si>
  <si>
    <t>=1,95*2*26,2*1,02+1,95*2*8,6*1,02</t>
  </si>
  <si>
    <r>
      <t xml:space="preserve">Nastavni sadržaj
</t>
    </r>
    <r>
      <rPr>
        <sz val="10"/>
        <rFont val="Arial"/>
        <family val="2"/>
      </rPr>
      <t>=((6,6+0,5+0,7)*4+0,2*(4*6)+3,5*3,5*2)*1,02+(225,5-1*4*6-1*3,5*9+0,2*(1+3,5)*2*15)*1,02+(145+0,2*(4,8+3*2)+0,2*(1,2+3*2)*2+0,2*(1,8+3*2)*2+0,2*(0,9+3,4)*2*2+0,2*(0,4+3,2)*12+0,2*(0,4+1,8)*2*8+(0,85+1*2)*5+3*5+12*4,15)*1,02+(6,6+54,3+1,2+0,2*(4*6))*1,02+(36,8+63,35+4*18,6+0,5*5,5+48,4-5,14*4-2,36*15-3*9+0,2*(9,5*4+7,6*15+8*9))*1,02+(36*3,5+36,2*4,05-5,14*2-2,36*12-3*6-3,4*2-1,34*9-1,9*3+0,2*(9,5*2+7,6*12+8*6+7,4*2+5,25*9+5,8*3)+(0,5+1,15)*1*6+0,2*(1*6*2))*1,02+(36,4*3,5+30,2*4-2,36*15-3*13+0,2*(7,6*15+8*13))+(24*3+9,6*3,5+4*23,65+4*3,15-2,36*11+3*10+0,2*(7,6*11+8*10))*1,02+(34,8+(0,5+0,15*2)+(0,65+0,15)*3,5+2,3*(1+0,15*2)+4*(0,65+0,15)+37*(1+0,15+0,3))*1,02+((0,5+0,15*2)*37+(1+0,15*2)*37+(0,7+0,15)*3,5+(0,4+0,15)*3,5)*1,02+((0,5+0,15*2)*37+(1+0,15*2)*24,35+(1+0,15+0,65)*30,88+(0,55+0,15)*4+(0,5+0,15)*3,5)*1,02+((1+0,15*2)*30,1+(1+0,15*2)*24,15+(0,5+0,15*2+0,15*6)+(0,5+0,15)*4*2+(1+0,15+0,3)*31)*1,02+4,05*0,6*4*4*1,02</t>
    </r>
  </si>
  <si>
    <r>
      <t xml:space="preserve">Istraživanje
</t>
    </r>
    <r>
      <rPr>
        <sz val="10"/>
        <rFont val="Arial"/>
        <family val="2"/>
      </rPr>
      <t>=(126,8+0,2*(10+12*2))*1,02+(106,3+0,2*(9+12*3))*1,02+(134,8+0,2*(10*2+12*6))*1,02+(81,7+22,95+0,2*(12*4+10+8+6+2+4*6,15*2+0,2*0,6*2))*1,02+(3,5*30,6-1*2,5*12+0,2*(1+2,5)*2*12)*1,02+(62,1+1*3,5*16+0,2*1*2,5*4+44,1+0,6*1*14+1*3,5*14+0,2*(1+2,5)*2*14)*1,02+(57,9+1*3*3+1*3,5*15+2,75+0,9+39,6+1*3,5*13+0,2*(1+2,5)*2*(15+18))*1,02+(0,6*4*4)*1,02+(46,5+1*3,5*15+2,7*2+0,2*(1+2,5)*2*15+46,3+1*3,5*15+0,2*(1+2,5)*2*18+0,55*4+3,5*0,2*2*2)*1,02+(1,1*36,7+0,5*30,56+1*30,15)*1,02+(1,1*36,7+0,5*36,7+1*36,7)*1,02+(35+9,5+0,2*(0,5+1+1,1)*2)*1,02+(48,8*1,1+42,2*0,5+48,8*1)*1,02</t>
    </r>
  </si>
  <si>
    <r>
      <t xml:space="preserve">Stomatologija i Uprava </t>
    </r>
    <r>
      <rPr>
        <sz val="10"/>
        <rFont val="Arial"/>
        <family val="2"/>
      </rPr>
      <t>=3,75*12*1,01</t>
    </r>
  </si>
  <si>
    <r>
      <t xml:space="preserve">Stomatologija i Uprava (mašinska sala) </t>
    </r>
    <r>
      <rPr>
        <sz val="10"/>
        <rFont val="Arial"/>
        <family val="2"/>
      </rPr>
      <t>=(2,75*36,76+8,05*36,76-(5,6*3,75)*4+0,15*(5,6+3,75)*2*4+(8,05*15,6+0,75*2+0,4*1,1))*1,01</t>
    </r>
  </si>
  <si>
    <r>
      <t xml:space="preserve">Nastavni sadržaj </t>
    </r>
    <r>
      <rPr>
        <sz val="10"/>
        <rFont val="Arial"/>
        <family val="2"/>
      </rPr>
      <t>=(83,5-(4,5-3)-(5,6*2,15-3)+0,25*(5,6+2,15)*2*1-(13-3)+0,25*(16,2-2,62))*1,02+(28,06+21,52+4,15*12-(5-3)*2-(4,76-3))*1,02</t>
    </r>
  </si>
  <si>
    <r>
      <t xml:space="preserve">Stomatologija i Uprava </t>
    </r>
    <r>
      <rPr>
        <sz val="10"/>
        <rFont val="Arial"/>
        <family val="2"/>
      </rPr>
      <t>=(32,3+10,7+2,25)*1,02</t>
    </r>
  </si>
  <si>
    <r>
      <t xml:space="preserve"> Istraživanje </t>
    </r>
    <r>
      <rPr>
        <sz val="10"/>
        <rFont val="Arial"/>
        <family val="2"/>
      </rPr>
      <t>=(10,9+23,1+32,9+18,8+4,1+0,55*22)*1,02</t>
    </r>
  </si>
  <si>
    <r>
      <t xml:space="preserve">Nastavni sadržaj </t>
    </r>
    <r>
      <rPr>
        <sz val="10"/>
        <rFont val="Arial"/>
        <family val="2"/>
      </rPr>
      <t>=(5+1,1+2+9)*1,02</t>
    </r>
  </si>
  <si>
    <t>prizemlje =1,8*3,7*1,01</t>
  </si>
  <si>
    <t>prizemlje =(4,18+13,31+13,28+3,61)*1,01</t>
  </si>
  <si>
    <t>1 sprat =(4,07+13,35+13,46+3,22)*1,01</t>
  </si>
  <si>
    <t>2 sprat =(4,12+13,36+13,42+3,87)*1,01</t>
  </si>
  <si>
    <t>1 sprat =(208,77+12,26+12,12+14,43+13,92+4,77+8,77+8,5+3,41+5,94+10,36)*1,01</t>
  </si>
  <si>
    <t>2 sprat =(7,07+12,19+10,45+9,62+3,25+8,52+8,51+3,38+7,58+16,47)*1,01</t>
  </si>
  <si>
    <t>1. sprat =(10,39+10,53+19,47+3,55)*1,01</t>
  </si>
  <si>
    <t>prizemlje =(10,51+2,77+10,37+2,79+10,91+10,92+11,25)*1,01</t>
  </si>
  <si>
    <t>2 sprat =486,58</t>
  </si>
  <si>
    <r>
      <t xml:space="preserve"> Istraživanje</t>
    </r>
    <r>
      <rPr>
        <sz val="10"/>
        <rFont val="Arial"/>
        <family val="2"/>
      </rPr>
      <t xml:space="preserve"> =0,2*2,5</t>
    </r>
  </si>
  <si>
    <t>=0,2*(5,35)+0,2*(5,5+5,55+2*3)+0,2*(5,6+2+5,45*2+5,5+4,13+5,55+1*10+2,9+5,6)+0,5*(2*12+5,6+5,45*2+5,55*2+5,2)</t>
  </si>
  <si>
    <r>
      <t xml:space="preserve">a) Stomatologija i Uprava </t>
    </r>
    <r>
      <rPr>
        <sz val="10"/>
        <rFont val="Arial"/>
        <family val="2"/>
      </rPr>
      <t>=(5+9*1,5)*1*1,02</t>
    </r>
  </si>
  <si>
    <r>
      <t xml:space="preserve">b) Istraživanje </t>
    </r>
    <r>
      <rPr>
        <sz val="10"/>
        <rFont val="Arial"/>
        <family val="2"/>
      </rPr>
      <t>=(5+9*0,5)*3*1,02</t>
    </r>
  </si>
  <si>
    <r>
      <t xml:space="preserve">c) Nastavni sadržaj </t>
    </r>
    <r>
      <rPr>
        <sz val="10"/>
        <rFont val="Arial"/>
        <family val="2"/>
      </rPr>
      <t>=(5+9*0,5)*1*1,02</t>
    </r>
  </si>
  <si>
    <r>
      <t>istraživanje (atrijum)</t>
    </r>
    <r>
      <rPr>
        <sz val="10"/>
        <rFont val="Arial"/>
        <family val="2"/>
      </rPr>
      <t xml:space="preserve"> =(9,7+4,5)*2-(0,7+0,3)</t>
    </r>
  </si>
  <si>
    <r>
      <t>a) Stomatologija i Uprava</t>
    </r>
    <r>
      <rPr>
        <sz val="10"/>
        <rFont val="Arial"/>
        <family val="2"/>
      </rPr>
      <t xml:space="preserve"> =0,8*122,3*1,02</t>
    </r>
  </si>
  <si>
    <r>
      <t>b) Istraživanje</t>
    </r>
    <r>
      <rPr>
        <sz val="10"/>
        <rFont val="Arial"/>
        <family val="2"/>
      </rPr>
      <t xml:space="preserve"> =(4,35*98,8+0,8*(170,23-24,72))*1,02</t>
    </r>
  </si>
  <si>
    <r>
      <t xml:space="preserve">c) Nastavni sadržaj </t>
    </r>
    <r>
      <rPr>
        <sz val="10"/>
        <rFont val="Arial"/>
        <family val="2"/>
      </rPr>
      <t>=(4,4*(18,2*2+5,55+0,2+0,5+0,3+1*4+12+11+17,8+6,6)+1*(13,53+12,01)+1,3*(12,5+6,8+12*2+5,6+36,8)+2,3*12,5+0,4*5,6+1,1*(6,2+36,8+0,9*30,2))*1,02</t>
    </r>
  </si>
  <si>
    <t>zidovi šahta =(2*(250,3+31,5))*1,01</t>
  </si>
  <si>
    <r>
      <t xml:space="preserve">a) Nastavni sadržaj
</t>
    </r>
    <r>
      <rPr>
        <sz val="10"/>
        <rFont val="Arial"/>
        <family val="2"/>
      </rPr>
      <t>=(0,9*5,6+1*13,53+1,85*12,01+2,2*18,7)*1,02</t>
    </r>
  </si>
  <si>
    <t>gornja ploča kanala =(304,6+35,8)*1,01</t>
  </si>
  <si>
    <t>podna ploča kanala =(304,6+35,8)*1,01</t>
  </si>
  <si>
    <t>zidovi =2*(250,3+31,5)*1,01</t>
  </si>
  <si>
    <r>
      <t>a) Stomatologija i Uprava</t>
    </r>
    <r>
      <rPr>
        <sz val="10"/>
        <rFont val="Arial"/>
        <family val="2"/>
      </rPr>
      <t xml:space="preserve"> =1,1*122,3+(32,3+10,7+2,25)*1,02</t>
    </r>
  </si>
  <si>
    <r>
      <t xml:space="preserve">b) Istraživanje </t>
    </r>
    <r>
      <rPr>
        <sz val="10"/>
        <rFont val="Arial"/>
        <family val="2"/>
      </rPr>
      <t>=((4,35*98,8+0,1*98,8)+0,8*(170,23-24,72)+0,3*170,23)*1,02+(10,9+23,1+32,9+18,8+4,1+0,55*22)*1,02</t>
    </r>
  </si>
  <si>
    <r>
      <t xml:space="preserve">c) Nastavni sadržaj </t>
    </r>
    <r>
      <rPr>
        <sz val="10"/>
        <rFont val="Arial"/>
        <family val="2"/>
      </rPr>
      <t>=(4,4*(18,2*2+5,55+0,2+0,5+0,3+1*4+12+11+17,8+6,6)+1*(13,53+12,01)+1,3*(5,6+36,8)+1,4*(12,5+6,8+12*2)+2,7*12,5+1,1*(6,2+36,8)+3,2*30,2+1*13,53+1,85*12,01+2,2*18,7)*1,02</t>
    </r>
  </si>
  <si>
    <r>
      <t xml:space="preserve">a) Stomatologija i Uprava </t>
    </r>
    <r>
      <rPr>
        <sz val="10"/>
        <rFont val="Arial"/>
        <family val="2"/>
      </rPr>
      <t>=(888,2+0,5*121,6)*1,02</t>
    </r>
  </si>
  <si>
    <r>
      <t xml:space="preserve">b) Istraživanje </t>
    </r>
    <r>
      <rPr>
        <sz val="10"/>
        <rFont val="Arial"/>
        <family val="2"/>
      </rPr>
      <t>=(601,5+0,3*98,2)*1,02+(1803,4-601,5+0,5*169,6)*1,02</t>
    </r>
  </si>
  <si>
    <r>
      <t>c) Nastavni sadržaj</t>
    </r>
    <r>
      <rPr>
        <sz val="10"/>
        <rFont val="Arial"/>
        <family val="2"/>
      </rPr>
      <t xml:space="preserve"> =(897+771+0,5*(183+134))*1,02</t>
    </r>
  </si>
  <si>
    <t>=(2,7+2,8)+(3,1+2,8+2,7*3+3,7)+(3,2+3,3)</t>
  </si>
  <si>
    <t>prizemlje =(13,51+13,35+14,3-3*0,9)*1,01</t>
  </si>
  <si>
    <t>1. sprat =(19,81+7,84-2*0,9)*1,01</t>
  </si>
  <si>
    <t>prizemlje =(2,93+8,1+9,2+9,09+9,3+3,36)*1,01</t>
  </si>
  <si>
    <t>1 sprat =(12,26+12,12+14,43+13,92+4,77+8,77+8,5+3,41+10,36)*1,01</t>
  </si>
  <si>
    <t>2 sprat =(7,07+12,19+10,45+9,62+3,25+8,52+8,51+3,38+16,47)*1,01</t>
  </si>
  <si>
    <t>prizemlje =(17,54+20,56+4,42)*1,01</t>
  </si>
  <si>
    <t>1 sprat =6,00</t>
  </si>
  <si>
    <t>2 sprat =7,66</t>
  </si>
  <si>
    <t>1 sprat =(13,14-0,9)*1,01</t>
  </si>
  <si>
    <t>2 sprat =(16,32-0,9)*1,01</t>
  </si>
  <si>
    <t>podrum =(4,68+8,36+8,62+2,05)*1,01+=(12,91+10,74+12,32)*1,01</t>
  </si>
  <si>
    <t>podrum =(15,86+20,22+13,16-2,21-1-2)*1,01</t>
  </si>
  <si>
    <t>prizemlje =7,68</t>
  </si>
  <si>
    <t>1 sprat =7,37</t>
  </si>
  <si>
    <t>2 sprat =8,18</t>
  </si>
  <si>
    <t>podrum =(209,97+44,38)*1,01</t>
  </si>
  <si>
    <t>podrum =(81,22-3,37-5,6*2-5,6*2-1,85-2,3-2,6)*1,01</t>
  </si>
  <si>
    <t>1. sprat =(159,55+16,52+15,68+16,24)*1,01</t>
  </si>
  <si>
    <t>prizemlje =(31,29+34,42+26,28+96,39+11+16,7+18-(2,17+2,68+5*1,58+3,02*2+33*0,9+2*0,8+3,18*2+1,85+1+1,1+1,2))*1,01</t>
  </si>
  <si>
    <t>2. sprat =(16,69+81,56+17,2+17,39-(2*0,9+3*1,1+1,2+2*1,6+4*1,95+2*1,65))*1,01</t>
  </si>
  <si>
    <t>prizemlje =(111,31+20,67+51,42+113,12)*1,01</t>
  </si>
  <si>
    <t>podrum =(15,7-0,9)*1,01</t>
  </si>
  <si>
    <t>prizemlje =(71,41+54,8+96,88-5,32-5,37-1,6*10-1,8*4-5,45*2-1*13)*1,01</t>
  </si>
  <si>
    <t>1. sprat =(45,84+46,33+70,11+143,11-0,9*31-1,2*1,2*16-1,1*2-1,6*1-3,05*4-3,25*2-1,95*2-2*4)*1,01</t>
  </si>
  <si>
    <t>2. sprat =(43,27+135,36+149,36-0,9*28-1,2*13-2*2-1,95*2-3,05*4)*1,01</t>
  </si>
  <si>
    <t>podrum =(20,83+81,13+17,93+20,03)*1,01</t>
  </si>
  <si>
    <t>prizemlje =(15,4+107+13,61-28)*1,01</t>
  </si>
  <si>
    <t>1. sprat =(366,94+18,91)*1,01</t>
  </si>
  <si>
    <t>2. sprat =(230,69+18,91)*1,01</t>
  </si>
  <si>
    <t>podrum =(18,96+57,4+25,16-2-2,1-2,6-5,6*2-1,6*2-1*2+18,2)*1,1</t>
  </si>
  <si>
    <t>prizemlje =155,07+28,28+210,62</t>
  </si>
  <si>
    <t>1. sprat =170,35+18,5-3,08*4-1,6*9-1*16-0,9*5</t>
  </si>
  <si>
    <t>2. sprat =195,66+18,5-3,08*4-1,6*3-1*9-0,9*13</t>
  </si>
  <si>
    <t>trem - prizemlje =33,84</t>
  </si>
  <si>
    <r>
      <t>Istraživanje</t>
    </r>
    <r>
      <rPr>
        <sz val="10"/>
        <rFont val="Arial"/>
        <family val="2"/>
      </rPr>
      <t xml:space="preserve"> =31+33,3</t>
    </r>
  </si>
  <si>
    <t>podesti i međupodesti = 3*(1,65+2*1,95+3*1,35)*1,01</t>
  </si>
  <si>
    <t>gazišta =1,4*0,3*(2*11+2*6+2*7)*1,01</t>
  </si>
  <si>
    <t>čela =1,4*0,1667*(2*12+2*7+2*8)*1,01</t>
  </si>
  <si>
    <t>testerasta sokla h=10cm =(0,3*48+0,1667*46)*1,1</t>
  </si>
  <si>
    <t>ravna sokla na podestima, h=10cm =(2*(6,6+6,9+5,7)-2*1,1)*1,01</t>
  </si>
  <si>
    <t>gazišta =(0,3*1,18*(9*3+8*2)*2+0,3*1,18*8*3)*1,01</t>
  </si>
  <si>
    <t>čela =(1,18*(10*0,17*3+8*0,17*3)*2+1,18*(9*0,15*3))*1,01</t>
  </si>
  <si>
    <t>testerasta sokla h=10cm =(3,75*3+(4,35+4,65+5,8+4,05+3,55)*2)*1,01</t>
  </si>
  <si>
    <t>ravna sokla na podestima, h=10cm =(7,7-2,55+8,3-2,55+(5,45-0,9+1,2*4+1,4*4+2,55*6+1,5*4)*2)*1,01</t>
  </si>
  <si>
    <t>gazišta =(3*7*0,3*1,6+(3*9*0,3*1,6+3*7*0,3*1,6)*2)*1,01</t>
  </si>
  <si>
    <t>čela =(3*8*0,17*1,6+(3*10+0,17*1,6+3*8*0,17*1,6)*2)*1,01</t>
  </si>
  <si>
    <t>testerasta sokla h=10cm =(3,55*3+(4,6*3+3,7*3)*2)*1,01</t>
  </si>
  <si>
    <t>ravna sokla na podestima, h=10cm =(1,95*2+1,85*2+1,65*2+3,4*3+(1,65*3*2+1,95*3*2+3,4*6)*2)*1,01</t>
  </si>
  <si>
    <t>prizemlje =(2,2*(13+7,1*2+12,9)-0,9*2,15*2-0,8*2,15*2)*1,01</t>
  </si>
  <si>
    <t>1 sprat =(2,2*(12,9+13)-0,9*2,15*2)*1,01</t>
  </si>
  <si>
    <t>podrum =(2,2*(13,04+16,11+9,05+10,94*2)-0,9*2,15*5)*1,01</t>
  </si>
  <si>
    <t>prizemlje =(2,2*(21,38+26,83+7,09+14,14+15,52+14,96+14,41+3,36+4,42)-0,9*2,15*9)*1,01</t>
  </si>
  <si>
    <t>1 sprat =(2,2*(14,93+16,91+19,13+18,97+8,87+14,4+14,03+7,5)-0,9*2,15*9)*1,01</t>
  </si>
  <si>
    <t>2 sprat =(2,2*(16,32+10,74+15,05+14,42+15,82+15,24+7,36+14,1+14,07+7,45)-0,9*2,151)*1,01</t>
  </si>
  <si>
    <t>podrum =2,2*(6,1+8,75+12,36+12,22-0,9*4)*1,01</t>
  </si>
  <si>
    <t>prizemlje =2,2*(8,2+18,55+18,65-0,9*3)*1,01</t>
  </si>
  <si>
    <t>1 sprat =2,2*(8,1+18,45+18,55-0,9*3)*1,01</t>
  </si>
  <si>
    <t>2 sprat =2,2*(8,14+18,45+18,55-0,9*3)*1,01</t>
  </si>
  <si>
    <t>=2,2*25,72-1,9*2,15-0,55*5,6-1,85*2,23</t>
  </si>
  <si>
    <r>
      <t xml:space="preserve">Stomatologija i Uprava </t>
    </r>
    <r>
      <rPr>
        <sz val="10"/>
        <rFont val="Arial"/>
        <family val="2"/>
      </rPr>
      <t>=(1,5*1*3+0,6*(1,5*8+1*1))*1,02</t>
    </r>
  </si>
  <si>
    <r>
      <t xml:space="preserve">Istraživanje </t>
    </r>
    <r>
      <rPr>
        <sz val="10"/>
        <rFont val="Arial"/>
        <family val="2"/>
      </rPr>
      <t>=(1,5*1*41+0,6*1,5*30)*1,02</t>
    </r>
  </si>
  <si>
    <r>
      <t xml:space="preserve">Nastavni sadržaj
</t>
    </r>
    <r>
      <rPr>
        <sz val="10"/>
        <rFont val="Arial"/>
        <family val="2"/>
      </rPr>
      <t>=(1*1,5+5*0,6*1,5+1*1,5*16+2*0,6*1,5+1,5*1*14)*1,02</t>
    </r>
  </si>
  <si>
    <t>=17,2*(133,5+5,3*2*2)*1,02+(693+683+63,3+12*5,3*2+700+568,6+(19,11+26)*10,2)*1,02+(180,65*15,2+59,6*15,1)*1,02</t>
  </si>
  <si>
    <t>Nabavka materijala i izrada holkela na fasadi. Raditi od nearmiranog betona C16/20, dimenzija: visina h=15cm, d=5cm. Holkel je zaobljene površine. Sastave holkela zaptivati vodonepropusnom, trajno elastičnom masom, otpornom na atmosferske uticaje i UV zračenja. Obračun po m1.</t>
  </si>
  <si>
    <t>=180,65+3,1*2+88+147,1</t>
  </si>
  <si>
    <t>=(6,75*0,5+6,75*0,75+6,75*0,15)*2*1,02+(7,1*(0,5+0,1))*2*1,02+((0,5+0,15)*1*2)*1,02+(7,1*12,5+1,1*7,1+0,7*7,1)*1,02</t>
  </si>
  <si>
    <t>Raditi u svemu prema detaljima iz projekta D.39, D.74</t>
  </si>
  <si>
    <r>
      <t xml:space="preserve">Stomatologija i Uprava </t>
    </r>
    <r>
      <rPr>
        <sz val="10"/>
        <rFont val="Arial"/>
        <family val="2"/>
      </rPr>
      <t>=(2,75*36,76+8,05*36,76-(5,6*3,75-3)*4+0,15*(5,6+3,75)*2*4+(8,05*15,6+0,75*2+0,4*1,1))*1,02</t>
    </r>
  </si>
  <si>
    <r>
      <rPr>
        <b/>
        <sz val="10"/>
        <rFont val="Arial"/>
        <family val="2"/>
      </rPr>
      <t>Nastavni sadržaj</t>
    </r>
    <r>
      <rPr>
        <sz val="10"/>
        <rFont val="Arial"/>
        <family val="2"/>
      </rPr>
      <t xml:space="preserve"> =(83,5-(4,5-3)-(5,6*2,15-3)+0,25*(5,6+2,15)*2*1-(13-3)+0,25*(16,2-2,62))*1,02+(28,06+21,52+4,15*12-(5-3)*2-(4,76-3))*1,02</t>
    </r>
  </si>
  <si>
    <r>
      <rPr>
        <b/>
        <sz val="10"/>
        <rFont val="Arial"/>
        <family val="2"/>
      </rPr>
      <t>Instalaterski zidovi kanala iznad ravni krova</t>
    </r>
    <r>
      <rPr>
        <sz val="10"/>
        <rFont val="Arial"/>
        <family val="2"/>
      </rPr>
      <t xml:space="preserve"> (detalj D19) =(0,6*(2,7+2,8)+0,6*(3,1+2,8+2,7*3+3,7)+0,6*(3,2+3,3))*1,02</t>
    </r>
  </si>
  <si>
    <r>
      <t xml:space="preserve">Istraživanje </t>
    </r>
    <r>
      <rPr>
        <sz val="10"/>
        <rFont val="Arial"/>
        <family val="2"/>
      </rPr>
      <t>=(10,9+23,1+32,9+18,8+4,1+0,55*22)*1,02+0,15*(0,55*2+2,9*2+2,5)*1,02</t>
    </r>
  </si>
  <si>
    <r>
      <t xml:space="preserve">Istraživanje </t>
    </r>
    <r>
      <rPr>
        <sz val="10"/>
        <rFont val="Arial"/>
        <family val="2"/>
      </rPr>
      <t>=(3,25*0,5+0,3*1,6)*1,02</t>
    </r>
  </si>
  <si>
    <r>
      <t xml:space="preserve">Stomatologija </t>
    </r>
    <r>
      <rPr>
        <sz val="10"/>
        <rFont val="Arial"/>
        <family val="2"/>
      </rPr>
      <t>=(11*2+81+38,3)*1,02</t>
    </r>
  </si>
  <si>
    <r>
      <t xml:space="preserve">Istraživanje </t>
    </r>
    <r>
      <rPr>
        <sz val="10"/>
        <rFont val="Arial"/>
        <family val="2"/>
      </rPr>
      <t>=(126,8+0,2*(10+12*2))*1,02+(106,3+0,2*(9+12*3))*1,02+(134,8+0,2*(10*2+12*6))*1,02+(81,7+22,95+0,2*(12*4+10+8+6+2+4*6,15*2+0,2*0,6*2))*1,02</t>
    </r>
  </si>
  <si>
    <r>
      <t xml:space="preserve">Nastavni sadržaj
</t>
    </r>
    <r>
      <rPr>
        <sz val="10"/>
        <rFont val="Arial"/>
        <family val="2"/>
      </rPr>
      <t>=((6,6+0,5+0,7)*4+0,2*(4*6)+3,5*3,5*2)*1,02+(225,5-1*4*6-1*3,5*9+0,2*(1+3,5)*2*15)*1,02+(145+0,2*(4,8+3*2)+0,2*(1,2+3*2)*2+0,2*(1,8+3*2)*2+0,2*(0,9+3,4)*2*2+0,2*(0,4+3,2)*12+0,2*(0,4+1,8)*2*8+(0,85+1*2)*5+3*5+12*4,15)*1,02+(6,6+54,3+1,2+0,2*(4*6))*1,02</t>
    </r>
  </si>
  <si>
    <r>
      <t xml:space="preserve">Istraživanje </t>
    </r>
    <r>
      <rPr>
        <sz val="10"/>
        <rFont val="Arial"/>
        <family val="2"/>
      </rPr>
      <t>=(3,5*30,6-1*2,5*12+0,2*(1+2,5)*2*12)*1,02+(62,1+1*3,5*16+0,2*1*2,5*4+44,1+0,6*1*14+1*3,5*14+0,2*(1+2,5)*2*14)*1,02+(57,9+1*3*3+1*3,5*15+2,75+0,9+39,6+1*3,5*13+0,2*(1+2,5)*2*(15+18))*1,02+(0,6*4*4)*1,02+(46,5+1*3,5*15+2,7*2+0,2*(1+2,5)*2*15+46,3+1*3,5*15+0,2*(1+2,5)*2*18+0,55*4+3,5*0,2*2*2)*1,02</t>
    </r>
  </si>
  <si>
    <r>
      <t xml:space="preserve">Nastavni sadržaj
</t>
    </r>
    <r>
      <rPr>
        <sz val="10"/>
        <rFont val="Arial"/>
        <family val="2"/>
      </rPr>
      <t>=(36,8+63,35+4*18,6+0,5*5,5+48,4-5,14*4-2,36*15-3*9+0,2*(9,5*4+7,6*15+8*9))*1,02+(36*3,5+36,2*4,05-5,14*2-2,36*12-3*6-3,4*2-1,34*9-1,9*3+0,2*(9,5*2+7,6*12+8*6+7,4*2+5,25*9+5,8*3)+(0,5+1,15)*1*6+0,2*(1*6*2))*1,02+(36,4*3,5+30,2*4-2,36*15-3*13+0,2*(7,6*15+8*13))+(24*3+9,6*3,5+4*23,65+4*3,15-2,36*11+3*10+0,2*(7,6*11+8*10))*1,02</t>
    </r>
  </si>
  <si>
    <r>
      <t xml:space="preserve">Istraživanje </t>
    </r>
    <r>
      <rPr>
        <sz val="10"/>
        <rFont val="Arial"/>
        <family val="2"/>
      </rPr>
      <t>=(1,1*36,7+0,5*30,56+1*30,15)*1,02+(1,1*36,7+0,5*36,7+1*36,7)*1,02+(35+9,5+0,2*(0,5+1+1,1)*2)*1,02+(48,8*1,1+42,2*0,5+48,8*1)*1,02</t>
    </r>
  </si>
  <si>
    <r>
      <t xml:space="preserve">Nastavni sadržaj
</t>
    </r>
    <r>
      <rPr>
        <sz val="10"/>
        <rFont val="Arial"/>
        <family val="2"/>
      </rPr>
      <t>=(34,8+(0,5+0,15*2)+(0,65+0,15)*3,5+2,3*(1+0,15*2)+4*(0,65+0,15)+37*(1+0,15+0,3))*1,02+((0,5+0,15*2)*37+(1+0,15*2)*37+(0,7+0,15)*3,5+(0,4+0,15)*3,5)*1,02+((0,5+0,15*2)*37+(1+0,15*2)*24,35+(1+0,15+0,65)*30,88+(0,55+0,15)*4+(0,5+0,15)*3,5)*1,02+((1+0,15*2)*30,1+(1+0,15*2)*24,15+(0,5+0,15*2+0,15*6)+(0,5+0,15)*4*2+(1+0,15+0,3)*31)*1,02+4,05*0,6*4*4*1,02</t>
    </r>
  </si>
  <si>
    <r>
      <t>stomatologija -</t>
    </r>
    <r>
      <rPr>
        <sz val="10"/>
        <rFont val="Arial"/>
        <family val="2"/>
      </rPr>
      <t xml:space="preserve"> razni dekorativni elementi, stubovi
=(1,9*5,5*2+1,9*8,5*2+0,65*5,5*2+0,65*8,5*2+0,5*5,5*2+(1,9+0,65)*8,5*2+7,8*36,7)*1,02</t>
    </r>
  </si>
  <si>
    <r>
      <t xml:space="preserve">Nastavni sadržaj
</t>
    </r>
    <r>
      <rPr>
        <sz val="10"/>
        <rFont val="Arial"/>
        <family val="2"/>
      </rPr>
      <t>=(0,56*4*3*5+0,56*4*2,8*3,1)*1,02+2,15*4,65*2*1,02</t>
    </r>
  </si>
  <si>
    <r>
      <t>stomatologija -</t>
    </r>
    <r>
      <rPr>
        <sz val="10"/>
        <rFont val="Arial"/>
        <family val="2"/>
      </rPr>
      <t xml:space="preserve"> razni dekorativni elementi, stubovi
=(0,56*4*3*5+0,56*4*2,8*3,1)*1,02+2,15*4,65*2*1,02</t>
    </r>
  </si>
  <si>
    <r>
      <t xml:space="preserve">Nastavni sadržaj - </t>
    </r>
    <r>
      <rPr>
        <sz val="10"/>
        <rFont val="Arial"/>
        <family val="2"/>
      </rPr>
      <t>okvir brisoleja i fasadna površina (1 sprat - neprohodna terasa i atrijum)
=(2,4*2*13,35*2+2*4*3)*1,02+3*1,6*1,02+(8,7+8,3)*8,75*1,02</t>
    </r>
  </si>
  <si>
    <r>
      <t>stomatologija -</t>
    </r>
    <r>
      <rPr>
        <sz val="10"/>
        <rFont val="Arial"/>
        <family val="2"/>
      </rPr>
      <t xml:space="preserve"> razni dekorativni elementi, stubovi
=2,15*35,6*1,02</t>
    </r>
  </si>
  <si>
    <r>
      <t xml:space="preserve">Istraživanje- </t>
    </r>
    <r>
      <rPr>
        <sz val="10"/>
        <rFont val="Arial"/>
        <family val="2"/>
      </rPr>
      <t>oznaka FZ11a, Detalj D.35 i D.36
=(6,75*0,5+6,75*0,75+6,75*0,15)*2*1,02+(7,1*(0,5+0,1))*2*1,02+((0,5+0,15)*0,75*2)*1,02</t>
    </r>
  </si>
  <si>
    <t>prizemlje =(3,6*(16,7+33,9+13,02+18,22+10,93+16,29+13,51+15,22+27,66+13,35+14,3+15,32)+4,7*(8,6+9)-(4*2,4-3)*4+0,25*(4+2,4)*2*4-(2*2,4-3)+0,25*(2+2,4)*2-(1,6*2,15-3))*1,01</t>
  </si>
  <si>
    <t>1 sprat =(3,1*(146,61-2,1*2+18)+2,9*(16,8+17-2,1*4)-(5,6*2,5-3)*4+0,25*(5,6+2,5)*2*4-(3,25*3-3)*2-(4*2,5-3)*5+0,25*(4+2,5)*2*5-(2*2,5-3)*8+0,25*(2+2,5)*2*8-(3*2,5-3)*4+0,25*(3+2,5)*2*4)*1,01</t>
  </si>
  <si>
    <t>2 sprat =(2,9*(81,56+17,2+17,39-1,95*4+16,69)+5,82*(8,9+9+129,73)-(5,6*2,5-3)*4+0,25*(5,6+2,5)*2*4-(4*2,5-3)*5+0,25*(4+2,5)*2*5-(1*2,5*2+2*3-3)+0,25*(4+1*2+3*2)*4-(5,6*3,75-3)*2+0,25*(5,6+3,75)*2*2)*1,01</t>
  </si>
  <si>
    <t>stepenišni prostor =((4,7+3,78+3,6)*18)*1,01</t>
  </si>
  <si>
    <t>podrum =(3,8*(15,7+23,86+9,1*2+6,74+31,73+10,12+13,04+15,77+10,1*7+11,58*2+11,46+19,32+14,28+13,86+10,06+14,18+10,64)+3,48*(32,66+14,3+16,27+13,49+90,8+11,57+13,75+13,73+26,48+10,94*2+15,03+13,55+12,12))*1,01</t>
  </si>
  <si>
    <t>prizemlje =(4,75*(9,09*2+9,7+8,3+45,32+9,32+17,47)+3,6*(71,41+11,5+19,51+17,38+15,05+26,92+18,92+17,92+29,38-2,75-3-5,55)+3,1*(54,8+38,9+13+10,07+96,88-5,55)-(4*2-3)*11+0,25*(4+2)*2*11-(2*2-3)+0,25*(2*4)-(5,37*3,5-3)-(5,32*3,5-3)*1-(1,6*2,15-3)*6-(2*2,15-3)-(4,05*2,5-3)*6+0,25*(4,05+2,5)*2*6-(3,05*2,5-3)+0,25*(3,05+2,5)*2)*1,01</t>
  </si>
  <si>
    <t>1 sprat
=(3,1*(45,84+16,63+16,01+14,61+14,94+14,89+16,06*2+12,12*3+19,26+18,53+19,71+13,1+12,55+12,53+13,11+14,95+14,92+13,16+20,52-3,05*2)+2,9*(25,46+46,33+70,71+143,11-3,05*3-2*3)+3,75*(9,09*2+8,3*2+85,76+8,49+12,2)+2,7*(14,93+16,91)-(2,05*2,5-3)+0,25*(2,05+2,5)*2-(2*2,5-3)-(4,05*2,5-3)*2+0,25*(4,05+2,5)*2*2-(1,6*2,15-3)*4)*1,01</t>
  </si>
  <si>
    <t>2 sprat =(3,1*(43,27+14,8+12+13,49+28,42+18,56+13,49+17,51+16,93+11+15,69+15,13+19,09*2+9,4+20,46+14,24+11,98+18,92+13,02+17,62+12,82+12,76+17,52+19,01-3,05*4-2*4)+3,75*(9,09*2+8,3*2)+2,7*(10,74+15,05)+2,9*(135,36+149,36)-(1,6*2,8-3)-(4,5*2,5-3)*5+0,25*(4,5+2,5)*2*5-(3,05*2,5-3)+0,25*(3,05+2,5)*2-(2,05*2,5-3))*1,01</t>
  </si>
  <si>
    <t>podrum =(2,9*(18,96+57,4+81,22+41,44+13,16)+3,1*25,16+3,97*(12,15+12,07+12,04)+2,2*(24,04+14,6)+3,87*26+2,7*(15,86+20,22+14,36)-(2*2,15-3)*2-(2,3*2,15-3)-(2,68*2,15-3)-(5,6*2,15-3)*2-(1,6*2,15-3)*5)*1,01</t>
  </si>
  <si>
    <t>prizemlje =(3,6*(16,7+145,48+34,21+52,5+59,34+35,06+18,78+31,74+17,08+13,23+16,85-9,81*2-8,8*2)+4,5*(11,95+12,04)-(2,7*5,3-3)+0,2*(2,7+5,3)*2-(2,5*5,3-3)+0,2*(2,5+5,3)*2-(2,7*5,4-3)+0,2*(2,7+5,4)*2-(2,5*5,4-3)+0,2*(2,5+5,4)*2-(1,6*2,15-3)*7-(3,05*2,5-3)*2-(2,1*2,15-3)*2)*1,01</t>
  </si>
  <si>
    <t>1 sprat =(3,1*(170,35+18,5+7,3+430,12)+3,82*10,65*2-(5,6*3,1-3)*5+0,2*(5,6+3,1)*2*5-(2,6*3,1-3)*3+0,2*(2,6+3,1)*2*3-(8,95*3,1-3)+0,2*(8,95+3,1)*2-(3*3,1-3)+0,2*(3+3,1)*2*1-(3,05*2,15-3)*4+0,2*(3,05+2,15)*2*4-(5,14-3)*2+0,2*(1,72+3)*2*2)*1,01</t>
  </si>
  <si>
    <t>2 sprat =(3,1*(195,66+18,5+8,1+388,4)+3,82*10,65*2-(5,6*3,1-3)*5+0,2*(5,6+3,1)*2*5-(2,6*3,1-3)*3+0,2*(2,6+3,1)*2*3-(8,95*3,1-3)+0,2*(8,95+3,1)*2-(3*3,1-3)+0,2*(3+3,1)*2*1-(3,05*2,15-3)*4+0,2*(3,05+2,15)*2*4-(5,14-3)*2+0,2*(1,72+3)*2*2)*1,01</t>
  </si>
  <si>
    <t>prizemlje =(3,6*(31,29+15,83+14,96+22,77+13,5+11,9+29,17+27,84+21,14+22,36+13,65+22,77+21,68)+3,1*(34,42+26,28+47,62+96,39+11)-(2*2,4-3)+0,25*(2+2,4)*2-(3*2,4-3)+0,25*(3+2,4)*2*1-(4*2,4-3)*5+0,25*(4+2,4)*2*8-(1,6*3-3)*7-(3,2*3,5-3)*2-(3,03*3,5-3)*2-(5,5*3,5-3))*1,01</t>
  </si>
  <si>
    <t>prizemlje =(3,1*(23,85+67,06+12,2+11,1)+3,6*(41,74+34,22+26,82*2+23,72+30,64+31,54+28,14+39,35)-(1,8*2,15-3)*10-(4,05*2,5-3)*5+0,25*(4,05+2,5)*2*5-(1,7*3,5-3))*1,01</t>
  </si>
  <si>
    <t>1 sprat =(3,1*(19,29+22,41+14,22+14,82+26,56+23,6+23,59+18,54+19,04*2+18,6+18,62+15,71+16,02+15,63+13,15+14,08+10,06)-(2,05*2,5-3)*2+0,25*(2,05+2,5)*2*2-(4,05*2,5-3)*2+0,25*(4,05+2,5)*2*2-(2*2,5-3)*2)*1,01</t>
  </si>
  <si>
    <t>2 sprat =(3,1*(22,04+32,08+19,2+19,07+21,99+29,64+26,54+33,74+23,04+25,59+25,43+15,14+18,72)-(2*1,9-3)-(5,6*3-3)+0,25*(5,6*1+3*1)-(0,8*2*3+5,6*3-3)+0,25*(0,8*2+3*2+5,6)-(4,05*2,5-3)+0,25*(4,05+2,5)*2)*1,01</t>
  </si>
  <si>
    <t>podrum =(2,7*15,86+2,9*81,22-(2,68*2,15-3)*1-(2,3*2,15-3)*1-(5,6*2,15-3)*1+0,2*(5,6*2,15)*2-(5,6*0,85-3)*2+0,2*(5,6+0,85)*2*2-(2,78*2,15+2,82*2,5-3)+0,2*(5,6+2,78+2,5*2))*1,01</t>
  </si>
  <si>
    <t>prizemlje =(131,21*2+(6,73+8,8+5,35+4,07+3,43)*0,6*2+7,42*13,45+3,4*13,45)*1,01</t>
  </si>
  <si>
    <t>prizemlje =(0,5*(13+7,1+12,9+7,1))*1,01</t>
  </si>
  <si>
    <t>1 sprat =0,5*(12,9+13)*1,01</t>
  </si>
  <si>
    <t>podrum =0,5*(13,04+16,11+9,05+10,94*2)*1,01</t>
  </si>
  <si>
    <t>prizemlje =(1*(21,38+26,83)+0,5*(7,09+14,14+15,52+14,96+14,41+3,36+4,42))*1,01</t>
  </si>
  <si>
    <t>1 sprat =(0,5*(19,13+18,97+8,87+14,4+14,03+7,5+12,52)+3,1*13,14)*1,01</t>
  </si>
  <si>
    <t>2 sprat =(0,5*(14,42+15,82+15,24+7,36+14,1+14,07+7,45+3,1)+3,1*16,32)*1,01</t>
  </si>
  <si>
    <t>podrum =0,7*25,72*1,01+0,7*6,1+0,5*(8,75+12,36+12,22)*1,01</t>
  </si>
  <si>
    <t>prizemlje =0,5*(8,2+18,55+18,65)*1,01</t>
  </si>
  <si>
    <t>1 sprat =0,5*(8,1+18,45+18,55)*1,01</t>
  </si>
  <si>
    <t>2 sprat =0,5*(8,14+18,45+18,55)*1,01</t>
  </si>
  <si>
    <t>podrum =(5,09*2+2,38+33,37+5,51+329,39-6,7*2)*1,01</t>
  </si>
  <si>
    <t>prizemlje =(19,31+61,99+5,41+17,04)*1,01</t>
  </si>
  <si>
    <t>1 sprat =(227,08+4,43+18,97+26,28+12,24+9,14+9,83)*1,01</t>
  </si>
  <si>
    <t>2 sprat =18,31</t>
  </si>
  <si>
    <t>(podesti, međupodesti, kose stepenišne ploče i bočne strane stepenišnih krakova
=2,55*(1,4*3+1,22+0,92*2+1,7+1,2+1,6)+(1,18+0,33)*(2,7+3,02+3,32+3,43*2+3,7+3,12+2,78+3,05)+2,55*(1,4+0,92+1,7*2+1,21*2+1,28)+(1,18+0,33)*(3+3,45+3,73+2,75+3,02+2,68)</t>
  </si>
  <si>
    <t>podrum =(9,12+9,02+8,92+32,13+41,74+11,73)*1,01</t>
  </si>
  <si>
    <t>(podesti, međupodesti, kose stepenišne ploče i bočne strane stepenišnih krakova =((1,31*2+1,7+2*2+1,61)*3,4*2+3,4*(2,04+11,5+1,7)+(2,5+2,8+3)*1,6+(3,5+3,9+3,45+3,4+2,75+2,75)*1,6*2+0,25*(2,5+2,8+3)+0,25*(3,5+3,9+3,45+3,4+2,75+2,95)*2)*1,01</t>
  </si>
  <si>
    <t>prizemlje =52,42</t>
  </si>
  <si>
    <t>sufiti =47,6*0,6*1,01</t>
  </si>
  <si>
    <t>prizemlje =(111,31+8,23)*1,01</t>
  </si>
  <si>
    <t>1 sprat =(15,7+16,25)*1,01</t>
  </si>
  <si>
    <t>2 sprat =(16,45+17)*1,01</t>
  </si>
  <si>
    <t>1 sprat =(5,2+0,65+0,5)*1,01</t>
  </si>
  <si>
    <t>1 sprat - kaskada- denivelacija =0,5*(5,5+3,3+2,3)*1,01</t>
  </si>
  <si>
    <t>prizemlje =(15,4+298,27+30,87)*1,01</t>
  </si>
  <si>
    <r>
      <t>Stomatologija i Uprava</t>
    </r>
    <r>
      <rPr>
        <sz val="10"/>
        <rFont val="Arial"/>
        <family val="2"/>
      </rPr>
      <t xml:space="preserve"> =(14,25*9+5)*1,01</t>
    </r>
  </si>
  <si>
    <r>
      <t>Istraživanje</t>
    </r>
    <r>
      <rPr>
        <sz val="10"/>
        <rFont val="Arial"/>
        <family val="2"/>
      </rPr>
      <t xml:space="preserve"> =(18,3*9*3+5*3)*1,01</t>
    </r>
  </si>
  <si>
    <r>
      <t>Nastavni sadržaj</t>
    </r>
    <r>
      <rPr>
        <sz val="10"/>
        <rFont val="Arial"/>
        <family val="2"/>
      </rPr>
      <t xml:space="preserve"> =(18,3*9+5)*1,01</t>
    </r>
  </si>
  <si>
    <t>prizemlje =(58,5+18,2+10,23+17,04)*1,01</t>
  </si>
  <si>
    <t>prizemlje =(55,48+10,32+7,15+15,17)*1,01</t>
  </si>
  <si>
    <t>U cenu ukalkulisatii i holkel, poklopne završne lajsne. Obračun po m2, komplet prema opisu.</t>
  </si>
  <si>
    <t>Odmah po ugradnji  podnu oblogu očistiti i premazati sredstvom na bazi emulzija za zaštitu i negu PVC podova. Pored zidova postaviti holkel visine h=10cm, radijus 5cm.  Preko Holkela postaviti poklopnu završnu lajsnu. Način polaganja, boja vinil antistatik traka  po projektu. (u svemu prema detaljima D.26; D.27; D.32, D.35; D.39; D.40)</t>
  </si>
  <si>
    <t>Vinil antistatik trake pre ugradnje razviti, položiti i ostaviti 24 časa na sobnu temperaturu iznad 15 stepeni. Trake zalepiti celom površinom za podlogu elektroprovodnim (antistatik) lepkom. Postavljanje raditi ukrajanjem, postupkom duplog sečenja, vodeći računa da se ne oštete bakarne trake. Spojnice zavariti toplim vazduhom, pomoću mekih PVC elektroda. Odmah po ugradnji vinil antistatik podnu oblogu očistiti i premazati sredstvom na bazi emulzija za zaštitu i negu PVC podova. Pored zidova postaviti holkel visine h=10cm, radijus 5cm. Holkel  pokriva obodne bakarne trake.  Preko Holkela postaviti poklopnu završnu lajsnu. Način polaganja, boja vinil antistatik traka  po projektu. (u svemu prema detaljima D.26; D.27; D.32, D.35; D.39; D.40)</t>
  </si>
  <si>
    <t>prizemlje =(75,45+9,3+42,07+34,93+53,06+7,65+43,14+44,5+90,39+25,68+35,97+42,93+42,07)*1,01</t>
  </si>
  <si>
    <t>1 sprat =(13,67+42,39+34,08+32,21+20,05+20,25*2+20,3+20,29+15,37+15,12+13,88+10,74+12,13+5,97)*1,01</t>
  </si>
  <si>
    <t>2 sprat =(27,51+59,51+21,31+21,05+29,69+51,37+40,72+62,46+30,12+37,84+39,84+13,45+20,81)*1,01</t>
  </si>
  <si>
    <t>1. sprat =8,30</t>
  </si>
  <si>
    <t>prizemlje =(8,23+20,91+17,06+61,99+5,41+39,97+10,26+6,2+10,96+36,22+21,15+19,29+47,87)*1,01</t>
  </si>
  <si>
    <t>1. sprat =(15,91+14,3+13,34+13,82+13,66+4,43+15,15*2+8,78*2+8,73+21+18,97+12,24+19,42+20,03+9,14+9,74+9,57+9,48+10,6+13,11+13,91+9,83+25,36)*1,01</t>
  </si>
  <si>
    <t>2. sprat =(12,75+9,96+11,11+43,17+20,12+11,11+16,9+15,1+7,55+14,06+12,57+21,84*2+9,4+23,6+12,61+8,09+21,07+10,42+18,72+10,11+9,95+17,81+21,46)*1,01</t>
  </si>
  <si>
    <t>prizemlje =(128,61+190,03+69,61+20,21)*1,01+45,9*1,01</t>
  </si>
  <si>
    <t>1. sprat =672,66</t>
  </si>
  <si>
    <t>2. sprat =(546,68-32,47-34,56*2-32,76-32,91-32)*1,01</t>
  </si>
  <si>
    <t>=286,39*1,03+19*0,21*12,01*1,03+0,3*0,107*19*2*1,03</t>
  </si>
  <si>
    <t>1 sprat =12,32</t>
  </si>
  <si>
    <t>prizemlje =(25,68+35,97+75,45+9,3+34,93+53,06+7,65)*1,01</t>
  </si>
  <si>
    <t>1 sprat =(13,88+10,74+5,97)*1,01</t>
  </si>
  <si>
    <t>2 sprat =(59,61+21,05+13,45)*1,01</t>
  </si>
  <si>
    <t>prizemlje =(42,93+42,07*2+43,14+44,5+90,39)*1,01</t>
  </si>
  <si>
    <t>1 sprat =(13,67+42,39+34,08+32,21+20,05+20,25*2+20,3+20,29+12,13)*1,01</t>
  </si>
  <si>
    <t>2 sprat =(27,51+21,31+28,82+51,37+40,72+62,46+30,12+37,84+39,84+20,81)*1,01</t>
  </si>
  <si>
    <t>1 sprat =26,54</t>
  </si>
  <si>
    <t>Napomena: obračunate su horizontalne površine, vertikalne površine (čela) i bočne strane međustepenika. U cenu ukalkulisati i sve potrebne lajsne na ivicama stepenika i međustepenika. U svemu raditi prema projektu.</t>
  </si>
  <si>
    <r>
      <t xml:space="preserve">2) PVC antistatik pod, </t>
    </r>
    <r>
      <rPr>
        <sz val="10"/>
        <rFont val="Arial"/>
        <family val="2"/>
      </rPr>
      <t>oznaka PT7a, MK6a</t>
    </r>
  </si>
  <si>
    <t>2. sprat =(32,47+34,56*2+32,76+32,91+32)*1,01</t>
  </si>
  <si>
    <t>prizemlje =16,12</t>
  </si>
  <si>
    <t>podrum =(28,33+22,87+33,37+5,51+329,39-7,88-6,7*2)*1,01</t>
  </si>
  <si>
    <t>Nakon sušenja prajmera naneti završni hemijski otporni premaz. Potrebno je naneti cca 1,5kg/m2 premaza u 2-3 radna koraka. U okviru pozicije uraditi i holkel prema projektu.</t>
  </si>
  <si>
    <t>U cenu uračunati sav potreban materijal i rad do gotovog poda a u svemu prema opisu.</t>
  </si>
  <si>
    <r>
      <t>Stomatologija i Uprava</t>
    </r>
    <r>
      <rPr>
        <sz val="10"/>
        <rFont val="Arial"/>
        <family val="2"/>
      </rPr>
      <t xml:space="preserve"> =3*4*2</t>
    </r>
  </si>
  <si>
    <t>=16,97</t>
  </si>
  <si>
    <t>akustični mineralni raster plafon =116,64*2*1,01</t>
  </si>
  <si>
    <t>venac od gips kartonskih ploča
=(286,39-116,64*2)*1,01</t>
  </si>
  <si>
    <r>
      <t xml:space="preserve">Stomatologija i Uprava - E4 </t>
    </r>
    <r>
      <rPr>
        <sz val="10"/>
        <rFont val="Arial"/>
        <family val="2"/>
      </rPr>
      <t>=(5,6*36,7+0,2*5,6*7+5,6*5*2)*1,01</t>
    </r>
  </si>
  <si>
    <r>
      <t xml:space="preserve">Stomatologija i Uprava -E3 </t>
    </r>
    <r>
      <rPr>
        <sz val="10"/>
        <rFont val="Arial"/>
        <family val="2"/>
      </rPr>
      <t>=(0,72*2+2,2)*2*5,6*1,01</t>
    </r>
  </si>
  <si>
    <r>
      <t xml:space="preserve">Istraživanje - E1; E2  </t>
    </r>
    <r>
      <rPr>
        <sz val="10"/>
        <rFont val="Arial"/>
        <family val="2"/>
      </rPr>
      <t>=70,80</t>
    </r>
  </si>
  <si>
    <r>
      <t xml:space="preserve">(plafon iznad neprohodne terase) Ravan krov
</t>
    </r>
    <r>
      <rPr>
        <sz val="10"/>
        <rFont val="Arial"/>
        <family val="2"/>
      </rPr>
      <t>=2,06*36,75*1,01</t>
    </r>
  </si>
  <si>
    <r>
      <t xml:space="preserve">Nastavni sadržaj -E1b  </t>
    </r>
    <r>
      <rPr>
        <sz val="10"/>
        <rFont val="Arial"/>
        <family val="2"/>
      </rPr>
      <t>=(32,3+0,26*23,9)*1,01</t>
    </r>
  </si>
  <si>
    <r>
      <t xml:space="preserve">Stomatologija i Uprava </t>
    </r>
    <r>
      <rPr>
        <sz val="10"/>
        <rFont val="Arial"/>
        <family val="2"/>
      </rPr>
      <t>=4*3</t>
    </r>
  </si>
  <si>
    <t>prizemlje - toaleti (visina od gotovog poda h=2,6m; visina spuštanja h=2,1m).  U cenu uračunati potrebnu dodatnu podkonstrukciju. =26,71</t>
  </si>
  <si>
    <t>prizemlje - mini kuhinja i garderobe (visina od gotovog poda h=3,5m; visina spuštanja h=1,2m).
=(10,95+11,25+10,95)*1,01</t>
  </si>
  <si>
    <t>1 sprat  (visina od gotovog poda h=2,6m; visina spuštanja h=1,15m) 
=(10,55+10,4)*1,01</t>
  </si>
  <si>
    <t>podrum (visina od gotovog poda h=2,6m; visina spuštanja h=0,88m)
=(9,45+12,72+16,11+9,05+6,7*2)*1,01</t>
  </si>
  <si>
    <t>prizemlje - toaleti (visina od gotovog poda h=2,6m; visina spuštanja h=2,15m).  U cenu uračunati potrebnu dodatnu podkonstrukciju
=(17,54+20,86+3,05+8,27+9,26+9,09+9,3+3,36+4,42)*1,01</t>
  </si>
  <si>
    <t>1. sprat (visina od gotovog poda h=2,6m i h=3,0m; visina spuštanja h=1,15m i h=0,75m)
=(12,26+12,12+14,43+13,92+4,77+10,36+8,77+8,5+3,41+5,94)*1,01</t>
  </si>
  <si>
    <t>2. sprat (visina od gotovog poda h=2,6m i h=3,0m; visina spuštanja h=1,15m i h=0,75m)
=(7,07+12,19+7,58+10,72+9,62+3,25+8,52+8,51+3,38+16,47)*1,01</t>
  </si>
  <si>
    <t>podrum (visina od gotovog poda h=2,6m; visina spuštanja h=1,17m) 
=12,91+4,68+8,36+8,62</t>
  </si>
  <si>
    <t>prizemlje (visina od gotovog poda h=2,6m; visina spuštanja h=0,9m)
=(4,18+13,31+13,28)*1,01</t>
  </si>
  <si>
    <t>1. sprat (visina od gotovog poda h=2,6m; visina spuštanja h=1,15m)
=(4,07+13,35+13,46)*1,01</t>
  </si>
  <si>
    <t>1 sprat  (visina od gotovog poda h=3,0m; visina spuštanja h=0,75m) =3,25</t>
  </si>
  <si>
    <t>2 sprat  (visina od gotovog poda h=3,0m; visina spuštanja h=0,75m) =3,87</t>
  </si>
  <si>
    <t>=48,08</t>
  </si>
  <si>
    <t>=(9,9*2+9,85*2)*1,01</t>
  </si>
  <si>
    <t>=(2*18+1*1*87+4*4+2+1*213+1,6*6+0,5*13+1,66*24+0,64*4+0,84*2+0,66*12+3+0,32*20+5,4*2+5,6*6)*1,01</t>
  </si>
  <si>
    <t>=(0,9*(16+12+18+5+80+5*2)+1,2*(22+4+2+6+35)+1,6*(16)+1*27+0,8*4)*1,02</t>
  </si>
  <si>
    <r>
      <t>Istraživanje (atrijum)</t>
    </r>
    <r>
      <rPr>
        <sz val="10"/>
        <rFont val="Arial"/>
        <family val="2"/>
      </rPr>
      <t xml:space="preserve"> =(9,7+4,5)*2*1,01</t>
    </r>
  </si>
  <si>
    <t>Malterisanje plafona, armirano-betonskih i  AB greda. Malterisati produžnim malterom razmere 1:3:9. Preko podloge nabacati cementni špric. Prvi sloj, grunt, raditi produžnim malterom od prosejanog šljunka, „jedinice“. Podlogu pokvasiti, naneti prvi sloj maltera i narezati ga. Drugi sloj spraviti sa sitnim čistim peskom, bez primesa mulja i organskih materija i naneti preko prvog sloja. Perdašiti uz kvašenje i glačanje malim perdaškama. Površine moraju biti ravne, bez preloma i talasa. Malter kvasiti da ne dođe do brzog sušenja i „pregorevanja“. U cenu ulazi i pomoćna skela.</t>
  </si>
  <si>
    <t>Nabavka, transport  i malterisanje plafona preko termoizolacije rabic i armaturne mreže. Malterisati produžnim malterom R1:2:6 u dva sloja, d=3cm. Rabic mreža se veže za noseću mrežu punktovanu ili izrađenu od armature ᴓ5mm sa okcima15-15cm u oba pravca. Armatura  je  vezana  za konstrukciju nerđajućim ankerima. Rabic mreža se prethodno prska cementnim mlekom, zatim malteriše cementnim malterom R 1:3 spravljenim sa upotrebom sejanog šljunka N°1, i finalno malteriše produžnim malterom  R.1:2:6. Cenom obuhvatiti: postavljanje armaturne i rabic mreže, malterisanje i potrebnu radnu skelu. Termoizolacija je obračunata u izolaterskim radovima.  Obračun po  m2 komplet.</t>
  </si>
  <si>
    <t>Nabavka materijala i postavljanje zvučne izolacije  (od udarnog i prostornog zvuka) u sastavu plivajućih podova d=2cm. Materijal koji se koristi: apsorber zvuka na bazi presovanih pamucnih vlakana. Ploče se polažu preko ravne armirano betonske međuspratne konstrukcije. Preko zvučne izolacije polaže se PE folija. Po obimu prostorija postaviti trake izolacije do nivoa cementne košuljice, da se spreči kontakt podloge i zida. Cenom obračunati ploče azmafona i PE foliju.</t>
  </si>
  <si>
    <t>podesti i međupodesti
=(3,32+4+3,7+3,32*4+3,7*2+3,42*4+4,1*2)*1,01</t>
  </si>
  <si>
    <t>(podesti, međupodesti, kose stepenišne ploče i bočne strane stepenišnih krakova
=(5,5+6+4,5+4,2+1,4*(2,6+2,9+2,8+4,2+4,4)+1,4+1,3+1+0,9+0,8*2)*1,01</t>
  </si>
  <si>
    <t>Parket tipa kao Tarkett hrast kakao- WSALA-OUKRUPRCT 227, ili odgovarajuće.</t>
  </si>
  <si>
    <t xml:space="preserve">Nabavka i postavljanje troslojnog parketa.  Parket I klase, bajcovan, debljine 14mm. Parket se postavlja preko prethodno očišćene podloge. Parket se lepi na podlogu uz predhodno potrebno nivelisanje masama za  izravnanje površina. Predhodno premazati prajmerom podlogu. Između parketa i zida ostaviti dilatacione razdelnice. Pored zidova postaviti pripadajuće lajsne I klase i na svakih 80cm pričvrstiti ih za zid. Sučeljavanja gerovati. </t>
  </si>
  <si>
    <t>U cenu ukalkulisati i tipske pripadajuće lajsne. U cenu ukalkulisati sav potreban materijal prema opisu. Obračun po m2, komplet prema opisu.</t>
  </si>
  <si>
    <r>
      <t>Dimenzija  560/350 cm oznaka šeme</t>
    </r>
    <r>
      <rPr>
        <b/>
        <sz val="10"/>
        <rFont val="Arial"/>
        <family val="2"/>
      </rPr>
      <t xml:space="preserve">  F35</t>
    </r>
  </si>
  <si>
    <t>otirači</t>
  </si>
  <si>
    <t xml:space="preserve">Vrata su snabdevena potrebnim okovom od eloksiranog aluminijuma, odgovarajućim šarkama        (3 šarke po krilu), ukopavajućom cilindar  bravom sa 3 ključa plus master ključ. 
Vrata treba da zadovolji traženi koeficijent prolaza toplote Uw&lt;1,2W/m2K i faktorom propustljivosti sunčevog zračenja g=0,35.
</t>
  </si>
  <si>
    <t>Izrada i montaža otirača za noge  - ulaz, u ramu od aluminijumskih tipskih profila. Ispuna je od adekvatne gume  i paralelnim snopovima četkica  otporne na klizanje, profilisane u skladu sa namenom. Eloksaža rama je u prirodnoj boji aluminijuma.</t>
  </si>
  <si>
    <r>
      <t xml:space="preserve">Zidarska mera 460/150 cm oznaka šeme </t>
    </r>
    <r>
      <rPr>
        <b/>
        <sz val="10"/>
        <rFont val="Arial"/>
        <family val="2"/>
      </rPr>
      <t>36</t>
    </r>
  </si>
  <si>
    <r>
      <t xml:space="preserve">Zidarska mera 400/150cm oznaka šeme </t>
    </r>
    <r>
      <rPr>
        <b/>
        <sz val="10"/>
        <rFont val="Arial"/>
        <family val="2"/>
      </rPr>
      <t>36a</t>
    </r>
  </si>
  <si>
    <t xml:space="preserve">žaluzine </t>
  </si>
  <si>
    <r>
      <t xml:space="preserve">Zidarska mera 100/250cm oznaka šeme </t>
    </r>
    <r>
      <rPr>
        <b/>
        <sz val="10"/>
        <rFont val="Arial"/>
        <family val="2"/>
      </rPr>
      <t xml:space="preserve">  F62</t>
    </r>
  </si>
  <si>
    <t xml:space="preserve">Izrada i montaža spoljnih metalnih montažno-demontažnih žaluzina- maske. Žaluzine uraditi od čeličnog lima debljine 1.5mm. Lamele žaluzina montirati na čelične kutije 5x5cm (potkonstrukciju na osovinskom razmaku od 1.0m). prema unutrašnjem prostoru postaviti pocinkovano žičano platno, - žica  Ø 0.8mm, a otvor okca 5.7mm/5.7mm. Svi metalni delovi se miniziraju i boje u dva sloja bojom za metal u ral 7016 - grafitno-crna. 
</t>
  </si>
  <si>
    <t xml:space="preserve">U sklopu maske predvideti žaluzine - dve izduvne (min dim. 1400 x 1815mm, parapet 50cm od kote poda).
Takodje su predvidjena dvokrilna metalna vrata od čeličnih profila dim 190/225 sa pragom od 10cm. Plot vrata je od čeličnog lima debljine 2mm obostrano postavljeni sa ispunom između.
Svi metalni delovi se miniziraju i boje 2x u tonu po izboru projektanta.
Vrata su poremljena odgovarajućim okovom kao i bravom za zaključavanje.
</t>
  </si>
  <si>
    <r>
      <t xml:space="preserve">Zidarska mera 500/295cm oznaka šeme </t>
    </r>
    <r>
      <rPr>
        <b/>
        <sz val="10"/>
        <rFont val="Arial"/>
        <family val="2"/>
      </rPr>
      <t xml:space="preserve">  F63</t>
    </r>
  </si>
  <si>
    <t>Staklo paket treba da zadovolji sledeće karakteristike:
- light transmission 58 (59),
- reflection 15,
- solar factor 33,
- Ug 1,0 W/m²K .
Staklo tipa kao AGC glass i ekvivalentno: 5.5.2 Stratobel Stopray Vision-60, 16mm Argon 90%, 4.4.2 Stratobel 2x Planibel Clear.</t>
  </si>
  <si>
    <t xml:space="preserve">Na fiksnim fasadnim poljima:
5.5.2 (10.76mm) laminirano providno niskoemisiono staklo (spolja), 16mm ,4.4.2 (8.76mm) laminirano providno (unutra).
</t>
  </si>
  <si>
    <t xml:space="preserve">- light transmission 58 (59),
- reflection 15,
- solar factor 33,
- Ug 1,0 W/m²K .
Staklo tipa kao AGC glass i ekvivalentno: 4.4.2 Stratobel Stopray Vision-60, 16mm Argon 90%, 3.3.2 Stratobel 2x Planibel Clear.
</t>
  </si>
  <si>
    <t xml:space="preserve">Na otvarajućim: 
4.4.2 (8.76mm) laminirano providno niskoemisiono staklo (spolja), 16mm, 3.3.2 (6.76mm) laminirano providno (unutra). 
</t>
  </si>
  <si>
    <t>Na fiksnim fasadnim poljima i parapetima:
5.5.2 (10.76mm) laminirano providno niskoemisiono staklo (spolja), 16mm, 4.4.2 (8.76mm) laminirano providno (unutra).</t>
  </si>
  <si>
    <t xml:space="preserve">Zastakljivanje: Termoizolacionim staklo paketima
Na fiksnim fasadnim poljima:
5.5.2 (10.76mm) laminirano providno niskoemisiono staklo (spolja), 16mm ,4.4.2 (8.76mm) laminirano providno (unutra). Staklo paket treba da zadovolji sledeće karakteristike:- light transmission 58 (59),- reflection 15,- solar factor 33,- Ug 1,0 W/m²K.
Staklo tipa kao AGC glass i ekvivalentno: 5.5.2 
</t>
  </si>
  <si>
    <t>Stratobel Stopray Vision-60, 16mm Argon 90%, 4.4.2 Stratobel 2x Planibel Clear.
Na visini od 100m od kote poda predvideti rukohvat od eloksiranog aluminijuma crna-grafitna E5, kutijastog profuija dimenzije 80x20mm u širini otvora.</t>
  </si>
  <si>
    <t xml:space="preserve">- light transmission 58 (59),
- reflection 15,
- solar factor 33,
- Ug 1,0 W/m²K .
</t>
  </si>
  <si>
    <t xml:space="preserve">Staklo tipa kao AGC glass i ekvivalentno: 4.4.2 Stratobel Stopray Vision-60, 16mm Argon 90%, 3.3.2 Stratobel 2x Planibel Clear.
Na visini od 100m od kote poda predvideti rukohvat od eloksiranog aluminijuma crna-grafitna E5, kutijastog profuija dimenzije 80x20mm u širini otvora.
</t>
  </si>
  <si>
    <t xml:space="preserve">Pregrada treba da zadovolji traženi koeficijent prolaza toplote Uw≤1,2W/m²K i faktorom propustljivosti sunčevog zračenja g=0,33.
Oblik, boja i materijal vidnih delova okova po katalogu proizvođača i izboru projektanta. 
</t>
  </si>
  <si>
    <t xml:space="preserve">Zastakljivanje: Termoizolacionim staklo paketima:
Na vratima:  
5.5.2 (10.76mm) laminirano providno niskoemisiono staklo (spolja), 16mm ,4.4.2 (8.76mm) laminirano providno (unutra). Vrata su snabdevena potrebnim okovom od eloksiranog aluminijuma, odgovarajućim šarkama (3 šarke po krilu),  ukopavajućom cilindar bravom sa 3 ključa plus master ključ.
</t>
  </si>
  <si>
    <t>Staklo paket treba da zadovolji sledeće karakteristike:- light transmission 58 (59),- reflection 15,- solar factor 33,- Ug 1,0 W/m²K.
Staklo tipa kao AGC glass i ekvivalentno: 5.5.2 Stratobel Stopray Vision-60, 16mm Argon 90%, 4.4.2 Stratobel 2x Planibel Clear.</t>
  </si>
  <si>
    <t>Obračun po kom zidnog platna (šeme ) po opisu uključujući i neprovidne delove sa oblogom od gips ploča sve komplet.</t>
  </si>
  <si>
    <t>Raditi u svemu po projektu, šemama i upustvu proizvođača.</t>
  </si>
  <si>
    <t>Fasadna zastakljena pregrada (zid zavesa) sa prozorima.
Pregrada se izrađuje od fasadnih aluminijumskih profila sa termičkim prekidom. 
U fasadnu konstrukciju se, ugrađuju jednokrilni prozori sa otvaranjem ručicom-"na ventus", prema šemi., od aluminijumskih profila sa termičkim prekidom. 
Ugradnja fasadnih profila se vrši posredstvom čeličnih, ili aluminijumskih anker ploča.
Sve elemente za fiksiranje pregrade, kao i materijal za termičku i hidro izolaciju po obodu pozicije, obuhvatiti cenom.</t>
  </si>
  <si>
    <t>Površinska obrada profila: Eloksaža u sloju od min 20μm u tonu crne-grafitne (E5). Svi čelični delovi konstrukcije treba da su toplo cinkovani (klasa antikorozivne zaštite C3), a vidni delovi bojeni bojom namenjenom za nanošenje na bojene metale u tonu E5.</t>
  </si>
  <si>
    <t>Na delovima iznad otvarajućeg
4.4.2 (8.76mm) laminirano providno niskoemisiono staklo (spolja), 16mm, 3.3.2 (6.76mm) laminirano providno (unutra).</t>
  </si>
  <si>
    <t>Na fiksnim fasadnim poljima i parapetima:
5.5.2 (10.76mm) laminirano providno niskoemisiono staklo (spolja), 16mm ,4.4.2 (8.76mm) laminirano providno (unutra).</t>
  </si>
  <si>
    <t>Na otvarajućim: 
4.4.2 (8.76mm) laminirano providno niskoemisiono staklo (spolja), 16mm, 3.3.2 (6.76mm) laminirano providno (unutra).</t>
  </si>
  <si>
    <t>Na parapetima - medjuspratna konstrukcija:
paket: spoljno staklo d=6mm, kaljeno, emajlirano RAL 7024 (siva), 15mm vazdušnog sloja za ventilaciju, dva čelična lima sa tvrdom mineralnom vunom d=12cm sa paroizolazijom i gipsane ploče 2x1.25cm.</t>
  </si>
  <si>
    <t>Staklo paket treba da zadovolji sledeće karakteristike:
- light transmission 58 (59),
- reflection 15,
- solar factor 33,
- Ug 1,0 W/m²K .
Staklo tipa kao AGC glass i ekvivalentno: 4.4.2 Stratobel Stopray Vision-60, 16mm Argon 90%, 3.3.2 Stratobel 2x Planibel Clear; 5.5.2 Stratobel Stopray Vision-60, 16mm Argon 90%, 4.4.2 Stratobel 2x Planibel Clear.</t>
  </si>
  <si>
    <t>Okov: skriveni,u svemu prema kataloškoj specifikaciji proizvođača sistema i u skladu sa dimenzijama otvora.
Oblik, boja i materijal vidnih delova okova po katalogu proizvođača i izboru projektanta.
Pregrada treba da zadovolji traženi koeficijent prolaza toplote Uw≤1,2W/m²K i faktorom propustljivosti sunčevog zračenja g=0,33.</t>
  </si>
  <si>
    <r>
      <t xml:space="preserve">staklena fasada
</t>
    </r>
    <r>
      <rPr>
        <sz val="10"/>
        <rFont val="Arial"/>
        <family val="2"/>
      </rPr>
      <t>NAPOMENA: Pre izrade i ugradnje sve mere treba uzeti na licu mesta.</t>
    </r>
  </si>
  <si>
    <t>Nabavka, transport i montaža fasadnih zastakljenih pregrada. Cenom ukalkulisati sav potreban materijal i  rad do ugrađene pozicije.</t>
  </si>
  <si>
    <r>
      <t xml:space="preserve">Dimenije pozicije 385/1351cm, oznaka šeme </t>
    </r>
    <r>
      <rPr>
        <b/>
        <sz val="10"/>
        <rFont val="Arial"/>
        <family val="2"/>
      </rPr>
      <t xml:space="preserve">F39 </t>
    </r>
    <r>
      <rPr>
        <sz val="9"/>
        <rFont val="Arial"/>
        <family val="2"/>
      </rPr>
      <t>(P=52,02m2)</t>
    </r>
  </si>
  <si>
    <r>
      <t xml:space="preserve">Dimenije pozicije 385/1351cm, oznaka šeme </t>
    </r>
    <r>
      <rPr>
        <b/>
        <sz val="10"/>
        <rFont val="Arial"/>
        <family val="2"/>
      </rPr>
      <t xml:space="preserve">F40 </t>
    </r>
    <r>
      <rPr>
        <sz val="9"/>
        <rFont val="Arial"/>
        <family val="2"/>
      </rPr>
      <t>(P=151,58m2)</t>
    </r>
  </si>
  <si>
    <t>Fasadna zastakljena pregrada (zid zavesa) sa prozorima i ulaznim vratima.
Pregrada se izrađuje od fasadnih aluminijumskih profila sa termičkim prekidom. 
U fasadnu konstrukciju se, ugrađuju jednokrilni prozori sa otvaranjem ručicom-"na ventus" i dvokrilna ulazna vrata sa otvaranjem u polju, prema šemi, od aluminijumskih profila sa termičkim prekidom. Vrata su snabdevena potrebnim okovom od eloksiranog aluminijuma, odgovarajućim šarkama (3 šarke po krilu),  ukopavajućom cilindar bravom sa 3 ključa plus master ključ.</t>
  </si>
  <si>
    <t>Ugradnja fasadnih profila se vrši posredstvom čeličnih, ili aluminijumskih anker ploča.
Sve elemente za fiksiranje pregrade, kao i materijal za termičku i hidro izolaciju po obodu pozicije, obuhvatiti cenom.
Površinska obrada profila: Eloksaža u sloju od min 20μm u tonu crne-grafitne (E5). Svi čelični delovi konstrukcije treba da su toplo cinkovani (klasa antikorozivne zaštite C3), a vidni delovi bojeni bojom namenjenom za nanošenje na bojene metale u tonu E5.</t>
  </si>
  <si>
    <t>Na fiksnim fasadnim poljima, vratima i parapetima:
5.5.2 (10.76mm) laminirano providno niskoemisiono staklo (spolja), 16mm ,4.4.2 (8.76mm) laminirano providno (unutra).</t>
  </si>
  <si>
    <t>Staklo tipa kao AGC glass i ekvivalentno: 4.4.2 Stratobel Stopray Vision-60, 16mm Argon 90%, 3.3.2 Stratobel 2x Planibel Clear; 5.5.2 Stratobel Stopray Vision-60, 16mm Argon 90%, 4.4.2 Stratobel 2x Planibel Clear.</t>
  </si>
  <si>
    <t>Okov: skriveni,u svemu prema kataloškoj specifikaciji proizvođača sistema i u skladu sa dimenzijama otvora.
Oblik, boja i materijal vidnih delova okova po katalogu proizvođača i izboru projektanta.
Pregrada treba da zadovolji traženi koeficijent prolaza toplote Uw≤1,2W/m²K i faktorom propustljivosti sunčevog  zračenja g=0,33.</t>
  </si>
  <si>
    <t>Na parapetima - medjuspratna konstrukcija:
paket: spoljno staklo d=6mm, kaljeno, emajlirano RAL 7024 (siva), 15mm vazdušnog sloja za ventilaciju, dva čelična lima sa tvrdom mineralnom vunom d=12cm sa paroizolazijom i gipsane ploče 2x1.25cm.
Staklo paket treba da zadovolji sledeće karakteristike:
- light transmission 58 (59),
- reflection 15,
- solar factor 33,
- Ug 1,0 W/m²K.</t>
  </si>
  <si>
    <r>
      <t xml:space="preserve">Dimenije pozicije 1763/1042+2322/300+43/205cm, oznaka šeme </t>
    </r>
    <r>
      <rPr>
        <b/>
        <sz val="10"/>
        <rFont val="Arial"/>
        <family val="2"/>
      </rPr>
      <t xml:space="preserve">F41 </t>
    </r>
    <r>
      <rPr>
        <sz val="10"/>
        <rFont val="Arial"/>
        <family val="2"/>
      </rPr>
      <t xml:space="preserve">(P=250,19m2); </t>
    </r>
    <r>
      <rPr>
        <b/>
        <sz val="10"/>
        <rFont val="Arial"/>
        <family val="2"/>
      </rPr>
      <t>Pozicija je sa jednim dvokrilnim vratima.</t>
    </r>
  </si>
  <si>
    <r>
      <t xml:space="preserve">Dimenije pozicije 2322/1351cm oznaka šeme </t>
    </r>
    <r>
      <rPr>
        <b/>
        <sz val="10"/>
        <rFont val="Arial"/>
        <family val="2"/>
      </rPr>
      <t xml:space="preserve">F42 </t>
    </r>
    <r>
      <rPr>
        <sz val="10"/>
        <rFont val="Arial"/>
        <family val="2"/>
      </rPr>
      <t xml:space="preserve">(P=313,70m2); </t>
    </r>
    <r>
      <rPr>
        <b/>
        <sz val="10"/>
        <rFont val="Arial"/>
        <family val="2"/>
      </rPr>
      <t>Pozicija je bez vrata.</t>
    </r>
  </si>
  <si>
    <t>Nastava</t>
  </si>
  <si>
    <t>Fasadna zastakljena pregrada (zid zavesa) sa prozorima i ulaznim vratima.
Pregrada se izrađuje od fasadnih aluminijumskih profila sa termičkim prekidom. 
U fasadnu konstrukciju se, ugrađuju jednokrilni prozori sa otvaranjem ručicom-"na ventus" i jednokrilna ulazna vrata sa otvaranjem u polju, prema šemi., od aluminijumskih profila sa termičkim prekidom. 
Ugradnja fasadnih profila se vrši posredstvom čeličnih, ili aluminijumskih anker ploča.
Sve elemente za fiksiranje pregrade, kao i materijal za termičku i hidro izolaciju po obodu pozicije, obuhvatiti cenom.</t>
  </si>
  <si>
    <t>Staklo paket treba da zadovolji sledeće karakteristike:- light transmission 58 (59),- reflection 15,- solar factor 33,- Ug 1,0 W/m²K.
Staklo tipa kao AGC glass i ekvivalentno: 4.4.2 Stratobel Stopray Vision-60, 16mm Argon 90%, 3.3.2 Stratobel 2x 
Planibel Clear; 5.5.2 Stratobel Stopray Vision-60, 16mm Argon 90%, 4.4.2 Stratobel 2x Planibel Clear.</t>
  </si>
  <si>
    <t xml:space="preserve">Okov: skriveni,u svemu prema kataloškoj specifikaciji proizvođača sistema i u skladu sa dimenzijama otvora.
Oblik, boja i materijal vidnih delova okova po katalogu proizvođača i izboru projektanta.
Pregrada treba da zadovolji traženi koeficijent prolaza toplote Uw≤1,2W/m²K i faktorom propustljivosti sunčevog 
zračenja g=0,33.
</t>
  </si>
  <si>
    <t>Na otvarajućim: 
4.4.2 (8.76mm) laminirano providno niskoemisiono staklo (spolja), 16mm, 3.3.2 (6.76mm) laminirano providno (unutra).
Na fiksnim fasadnim poljima i parapetima:
5.5.2 (10.76mm) laminirano providno niskoemisiono staklo (spolja), 16mm, 4.4.2 (8.76mm) laminirano providno (unutra).</t>
  </si>
  <si>
    <r>
      <t xml:space="preserve">Dimenije pozicije 867/873cm, oznaka šeme </t>
    </r>
    <r>
      <rPr>
        <b/>
        <sz val="10"/>
        <rFont val="Arial"/>
        <family val="2"/>
      </rPr>
      <t xml:space="preserve">F43 </t>
    </r>
    <r>
      <rPr>
        <sz val="10"/>
        <rFont val="Arial"/>
        <family val="2"/>
      </rPr>
      <t xml:space="preserve">(P=75,69m2); </t>
    </r>
    <r>
      <rPr>
        <b/>
        <sz val="10"/>
        <rFont val="Arial"/>
        <family val="2"/>
      </rPr>
      <t>Pozicija je bez vrata.</t>
    </r>
  </si>
  <si>
    <r>
      <t xml:space="preserve">Dimenije pozicije 522/873cm, oznaka šeme </t>
    </r>
    <r>
      <rPr>
        <b/>
        <sz val="10"/>
        <rFont val="Arial"/>
        <family val="2"/>
      </rPr>
      <t xml:space="preserve">F44 </t>
    </r>
    <r>
      <rPr>
        <sz val="10"/>
        <rFont val="Arial"/>
        <family val="2"/>
      </rPr>
      <t xml:space="preserve">(P=45,57m2); </t>
    </r>
    <r>
      <rPr>
        <b/>
        <sz val="10"/>
        <rFont val="Arial"/>
        <family val="2"/>
      </rPr>
      <t>Pozicija je bez vrata.</t>
    </r>
  </si>
  <si>
    <r>
      <t xml:space="preserve">Dimenije pozicije 822/873cm, oznaka šeme </t>
    </r>
    <r>
      <rPr>
        <b/>
        <sz val="10"/>
        <rFont val="Arial"/>
        <family val="2"/>
      </rPr>
      <t xml:space="preserve">F45 </t>
    </r>
    <r>
      <rPr>
        <sz val="10"/>
        <rFont val="Arial"/>
        <family val="2"/>
      </rPr>
      <t xml:space="preserve">(P=71,76m2); </t>
    </r>
    <r>
      <rPr>
        <b/>
        <sz val="10"/>
        <rFont val="Arial"/>
        <family val="2"/>
      </rPr>
      <t>Pozicija je sa jednim jednokrilnim vratima</t>
    </r>
  </si>
  <si>
    <r>
      <t xml:space="preserve">Dimenije pozicije 822/873cm, oznaka šeme </t>
    </r>
    <r>
      <rPr>
        <b/>
        <sz val="10"/>
        <rFont val="Arial"/>
        <family val="2"/>
      </rPr>
      <t xml:space="preserve">F46 </t>
    </r>
    <r>
      <rPr>
        <sz val="10"/>
        <rFont val="Arial"/>
        <family val="2"/>
      </rPr>
      <t>(P=71,76m2);</t>
    </r>
    <r>
      <rPr>
        <b/>
        <sz val="10"/>
        <rFont val="Arial"/>
        <family val="2"/>
      </rPr>
      <t xml:space="preserve"> Pozicija je bez vrata.</t>
    </r>
  </si>
  <si>
    <r>
      <t xml:space="preserve">Dimenije pozicije 822/873cm, oznaka šeme </t>
    </r>
    <r>
      <rPr>
        <b/>
        <sz val="10"/>
        <rFont val="Arial"/>
        <family val="2"/>
      </rPr>
      <t xml:space="preserve">F47 </t>
    </r>
    <r>
      <rPr>
        <sz val="10"/>
        <rFont val="Arial"/>
        <family val="2"/>
      </rPr>
      <t>(P=71,76m2);</t>
    </r>
    <r>
      <rPr>
        <b/>
        <sz val="10"/>
        <rFont val="Arial"/>
        <family val="2"/>
      </rPr>
      <t xml:space="preserve"> Pozicija je bez vrata.</t>
    </r>
  </si>
  <si>
    <r>
      <t xml:space="preserve">Dimenije pozicije 822/873cm, oznaka šeme </t>
    </r>
    <r>
      <rPr>
        <b/>
        <sz val="10"/>
        <rFont val="Arial"/>
        <family val="2"/>
      </rPr>
      <t xml:space="preserve">F48 </t>
    </r>
    <r>
      <rPr>
        <sz val="10"/>
        <rFont val="Arial"/>
        <family val="2"/>
      </rPr>
      <t xml:space="preserve">(P=71,76m2); </t>
    </r>
    <r>
      <rPr>
        <b/>
        <sz val="10"/>
        <rFont val="Arial"/>
        <family val="2"/>
      </rPr>
      <t>Pozicija je sa jednim jednokrilnim vratima</t>
    </r>
  </si>
  <si>
    <t>Staklo paket treba da zadovolji sledeće karakteristike:- light transmission 58 (59),- reflection 15,- solar factor 33,- Ug 1,0 W/m²K .
Staklo tipa kao AGC glass i ekvivalentno: 4.4.2 Stratobel Stopray Vision-60, 16mm Argon 90%, 3.3.2 Stratobel 2x 
Planibel Clear; 5.5.2 Stratobel Stopray Vision-60, 16mm Argon 90%, 4.4.2 Stratobel 2x Planibel Clear.</t>
  </si>
  <si>
    <t>Okov: skriveni,u svemu prema kataloškoj specifikaciji proizvođača sistema i u skladu sa dimenzijama otvora.
Oblik, boja i materijal vidnih delova okova po katalogu proizvođača i izboru projektanta.
Pregrada treba da zadovolji traženi koeficijent prolaza toplote Uw≤1,2W/m²K i faktorom propustljivosti sunčevog 
zračenja g=0,33.</t>
  </si>
  <si>
    <t>Stomatologija i Administracija</t>
  </si>
  <si>
    <t>Fasadna zastakljena pregrada (zid zavesa) sa prozorima i ulaznim vratima.
Pregrada se izrađuje od fasadnih aluminijumskih profila sa termičkim prekidom. 
U fasadnu konstrukciju se ugrađuju jednokrilni prozori sa otvaranjem ručicom-"na ventus" i  ulazna vrata sa otvaranjem u polju, prema šemi, od aluminijumskih profila sa termičkim prekidom. 
Ugradnja fasadnih profila se vrši posredstvom čeličnih, ili aluminijumskih anker ploča.
Sve elemente za fiksiranje pregrade, kao i materijal za termičku i hidro izolaciju po obodu pozicije, obuhvatiti cenom.</t>
  </si>
  <si>
    <r>
      <t xml:space="preserve">Dimenije pozicije 3560/555cm, oznaka šeme </t>
    </r>
    <r>
      <rPr>
        <b/>
        <sz val="10"/>
        <rFont val="Arial"/>
        <family val="2"/>
      </rPr>
      <t xml:space="preserve">F49 </t>
    </r>
    <r>
      <rPr>
        <sz val="10"/>
        <rFont val="Arial"/>
        <family val="2"/>
      </rPr>
      <t xml:space="preserve">(P=197,58m2); </t>
    </r>
    <r>
      <rPr>
        <b/>
        <sz val="10"/>
        <rFont val="Arial"/>
        <family val="2"/>
      </rPr>
      <t>Pozicija je sa dvoja dvokrilnih vrata.</t>
    </r>
  </si>
  <si>
    <t>Fasadna zastakljena pregrada (zid zavesa) sa prozorima.
Pregrada se izrađuje od fasadnih aluminijumskih profila sa termičkim prekidom. 
U fasadnu konstrukciju se, ugrađuju jednokrilni prozori sa otvaranjem ručicom-"na ventus", prema šemi, od aluminijumskih profila sa termičkim prekidom. 
Ugradnja fasadnih profila se vrši posredstvom čeličnih, ili aluminijumskih anker ploča.
Sve elemente za fiksiranje pregrade, kao i materijal za termičku i hidro izolaciju po obodu pozicije, obuhvatiti cenom.</t>
  </si>
  <si>
    <t>Na parapetima - medjuspratna konstrukcija:
paket: spoljno staklo d=6mm, kaljeno, emajlirano RAL 7024 (siva), 15mm vazdušnog sloja za ventilaciju, dva čelična lima sa tvrdom mineralnom vunom d=12cm sa paroizolazijom i gipsane ploče 2x1.25cm.
Staklo paket treba da zadovolji sledeće karakteristike:- light transmission 58 (59),- reflection 15,- solar factor 33,- Ug 1,0 W/m²K.</t>
  </si>
  <si>
    <t>Fasadna zastakljena pregrada (zid zavesa) sa prozorima i ulaznim vratima.
Pregrada se izrađuje od fasadnih aluminijumskih profila sa termičkim prekidom. 
U fasadnu konstrukciju se, ugrađuju jednokrilni prozori sa otvaranjem ručicom-"na ventus" i jednokrilna ulazna vrata sa otvaranjem u polju  za otvaranje prema šemi, od aluminijumskih profila sa termičkim prekidom. Vrata su snabdevena potrebnim okovom od eloksiranog aluminijuma, odgovarajućim šarkama (3 šarke po krilu),  ukopavajućom cilindar bravom sa 3 ključa plus master ključ.
Ugradnja fasadnih profila se vrši posredstvom čeličnih, ili aluminijumskih anker ploča.</t>
  </si>
  <si>
    <t>Sve elemente za fiksiranje pregrade, kao i materijal za termičku i hidro izolaciju po obodu pozicije, obuhvatiti cenom.
Površinska obrada profila: Eloksaža u sloju od min 20μm u tonu crne-grafitne (E5). Svi čelični delovi konstrukcije treba da su toplo cinkovani (klasa antikorozivne zaštite C3), a vidni delovi bojeni bojom namenjenom za nanošenje na bojene metale u tonu E5.</t>
  </si>
  <si>
    <t>Staklo tipa kao AGC glass i ekvivalentno: 4.4.2 Stratobel Stopray Vision-60, 16mm Argon 90%, 3.3.2 Stratobel 2x Planibel Clear; 5.5.2 Stratobel Stopray Vision-60, 16mm Argon 90%, 4.4.2 Stratobel 2x Planibel Clear.
Okov: skriveni,u svemu prema kataloškoj specifikaciji proizvođača sistema i u skladu sa dimenzijama otvora.
Oblik, boja i materijal vidnih delova okova po katalogu proizvođača i izboru projektanta.
Pregrada treba da zadovolji traženi koeficijent prolaza toplote Uw≤1,2W/m²K i faktorom propustljivosti sunčevog zračenja g=0,33.</t>
  </si>
  <si>
    <r>
      <t xml:space="preserve">Dimenije pozicije 2x(560/1005cm, oznaka šeme </t>
    </r>
    <r>
      <rPr>
        <b/>
        <sz val="10"/>
        <rFont val="Arial"/>
        <family val="2"/>
      </rPr>
      <t xml:space="preserve">F54 </t>
    </r>
    <r>
      <rPr>
        <sz val="10"/>
        <rFont val="Arial"/>
        <family val="2"/>
      </rPr>
      <t xml:space="preserve">(P=2x56,28m2=112,56m2); </t>
    </r>
    <r>
      <rPr>
        <b/>
        <sz val="10"/>
        <rFont val="Arial"/>
        <family val="2"/>
      </rPr>
      <t>Pozicija je bez otvarajućih  delova - prozora</t>
    </r>
  </si>
  <si>
    <r>
      <rPr>
        <sz val="10"/>
        <rFont val="Arial"/>
        <family val="2"/>
      </rPr>
      <t xml:space="preserve">Dimenije pozicije 3670/292cm, oznaka šeme </t>
    </r>
    <r>
      <rPr>
        <b/>
        <sz val="10"/>
        <rFont val="Arial"/>
        <family val="2"/>
      </rPr>
      <t xml:space="preserve">F53 </t>
    </r>
    <r>
      <rPr>
        <sz val="10"/>
        <rFont val="Arial"/>
        <family val="2"/>
      </rPr>
      <t>(P=107,16m2);</t>
    </r>
    <r>
      <rPr>
        <b/>
        <sz val="10"/>
        <rFont val="Arial"/>
        <family val="2"/>
      </rPr>
      <t xml:space="preserve"> U sklopu staklene fasade predvideti žaluzine - usisna (min dim. 1000x1320mm, parapet 20cm od kote poda) i izduvna (min dim. 800x825mm, pri plafonu).</t>
    </r>
  </si>
  <si>
    <r>
      <t xml:space="preserve">Dimenije pozicije 3670/555cm, oznaka šeme </t>
    </r>
    <r>
      <rPr>
        <b/>
        <sz val="10"/>
        <rFont val="Arial"/>
        <family val="2"/>
      </rPr>
      <t xml:space="preserve">F52 </t>
    </r>
    <r>
      <rPr>
        <sz val="10"/>
        <rFont val="Arial"/>
        <family val="2"/>
      </rPr>
      <t>(P=203,68m2);</t>
    </r>
  </si>
  <si>
    <r>
      <t xml:space="preserve">Dimenije pozicije 2x(550/1005)+3670/455cm, oznaka šeme </t>
    </r>
    <r>
      <rPr>
        <b/>
        <sz val="10"/>
        <rFont val="Arial"/>
        <family val="2"/>
      </rPr>
      <t xml:space="preserve">F51 </t>
    </r>
    <r>
      <rPr>
        <sz val="10"/>
        <rFont val="Arial"/>
        <family val="2"/>
      </rPr>
      <t xml:space="preserve">(P=272,53m2); </t>
    </r>
    <r>
      <rPr>
        <b/>
        <sz val="10"/>
        <rFont val="Arial"/>
        <family val="2"/>
      </rPr>
      <t>Pozicija je sa jednim dvokrilnim vratima.</t>
    </r>
  </si>
  <si>
    <r>
      <t xml:space="preserve">Dimenije pozicije 3670/255cm, oznaka šeme </t>
    </r>
    <r>
      <rPr>
        <b/>
        <sz val="10"/>
        <rFont val="Arial"/>
        <family val="2"/>
      </rPr>
      <t xml:space="preserve">F50 </t>
    </r>
    <r>
      <rPr>
        <sz val="10"/>
        <rFont val="Arial"/>
        <family val="2"/>
      </rPr>
      <t xml:space="preserve">(P=93,58m2); </t>
    </r>
    <r>
      <rPr>
        <b/>
        <sz val="10"/>
        <rFont val="Arial"/>
        <family val="2"/>
      </rPr>
      <t>Pozicija je bez vrata.</t>
    </r>
  </si>
  <si>
    <r>
      <rPr>
        <sz val="10"/>
        <rFont val="Arial"/>
        <family val="2"/>
      </rPr>
      <t>Dimenije pozicije
400/255+470/555+320/405+950/255+1550/555cm, oznaka šeme F55 (P=159,50m2);</t>
    </r>
    <r>
      <rPr>
        <b/>
        <sz val="10"/>
        <rFont val="Arial"/>
        <family val="2"/>
      </rPr>
      <t xml:space="preserve"> pozicija je bez vrata.</t>
    </r>
  </si>
  <si>
    <r>
      <rPr>
        <sz val="10"/>
        <rFont val="Arial"/>
        <family val="2"/>
      </rPr>
      <t>Dimenije pozicije
400/255+470/555+320/405+950/255+1550/555cm, oznaka šeme F56 (P=159,50m2);</t>
    </r>
    <r>
      <rPr>
        <b/>
        <sz val="10"/>
        <rFont val="Arial"/>
        <family val="2"/>
      </rPr>
      <t xml:space="preserve">  pozicija je sa jednim jednokrilnim vratima</t>
    </r>
  </si>
  <si>
    <t>skela</t>
  </si>
  <si>
    <t>holkel</t>
  </si>
  <si>
    <r>
      <t xml:space="preserve">Obračun po </t>
    </r>
    <r>
      <rPr>
        <sz val="10"/>
        <rFont val="Arial"/>
        <family val="2"/>
      </rPr>
      <t>m1</t>
    </r>
    <r>
      <rPr>
        <sz val="10"/>
        <rFont val="Arial"/>
        <family val="2"/>
      </rPr>
      <t>, komplet prema opisu.</t>
    </r>
  </si>
  <si>
    <r>
      <t xml:space="preserve">Istraživanje- </t>
    </r>
    <r>
      <rPr>
        <sz val="10"/>
        <rFont val="Arial"/>
        <family val="2"/>
      </rPr>
      <t>oznaka FZ11,  (fasada atrijuma),  FZ11a, Detalj D.35 i D.36</t>
    </r>
  </si>
  <si>
    <t>=58,2*1,02</t>
  </si>
  <si>
    <t>Stomatologija d=12cm, oznaka u projektu  FZ11, FZ11a</t>
  </si>
  <si>
    <t>Istraživanje d=12cm, oznaka u projektu  FZ11, FZ11a</t>
  </si>
  <si>
    <t>Nastavni sadržaj  d=12cm, oznaka u projektu  FZ11, FZ11a</t>
  </si>
  <si>
    <t>=(6,75*0,5+6,75*0,75+6,75*0,15)*2*1,02+(7,1*(0,5+0,1))*2*1,02+(0,5+0,15)*0,75*2*1,02+(6,75*0,5+6,75*0,75+6,75*0,15)*2*1,02+7,1*(0,5+0,1)*2*1,02+1*(0,5+0,15)*2*1,02+(7,1*12,5+1,1*7,1+0,7*7,1)*1,02+58,2*1,02</t>
  </si>
  <si>
    <t>=(1,9*5,5*2+1,9*8,5*2)*1,02</t>
  </si>
  <si>
    <t>=(1-0,18)*26,2*1,02+(1-0,18)*8,6*1,02+0,4*8,6*1,02+3*1,6*1,02+(8,7+8,3)*8,75*1,02</t>
  </si>
  <si>
    <r>
      <t xml:space="preserve">Nastavni sadržaj - </t>
    </r>
    <r>
      <rPr>
        <sz val="10"/>
        <rFont val="Arial"/>
        <family val="2"/>
      </rPr>
      <t>ispad na fasadi, horizontalno</t>
    </r>
  </si>
  <si>
    <r>
      <t xml:space="preserve">Nastavni sadržaj - </t>
    </r>
    <r>
      <rPr>
        <sz val="10"/>
        <rFont val="Arial"/>
        <family val="2"/>
      </rPr>
      <t>okvir brisoleja</t>
    </r>
  </si>
  <si>
    <r>
      <t xml:space="preserve">Nastavni sadržaj - </t>
    </r>
    <r>
      <rPr>
        <sz val="10"/>
        <rFont val="Arial"/>
        <family val="2"/>
      </rPr>
      <t>ispad na fasadi, čelo</t>
    </r>
  </si>
  <si>
    <t>=106,2+5,22*2+5,54*2+36,2+4,7*2+35,5+36,7+6*2</t>
  </si>
  <si>
    <t>=(167,84+71,92)*1,01</t>
  </si>
  <si>
    <t>=7,5*2*1,01</t>
  </si>
  <si>
    <t>=(131,85+30,75+37,7)*1,01</t>
  </si>
  <si>
    <t>=17,5</t>
  </si>
  <si>
    <t>=50,6</t>
  </si>
  <si>
    <t>Vrata izvesti sa svim potrebnim okovima, dihtunzima, šarkama, odbojnicima, bravom i mehanizmom za samozatvaranje, cilindrom za zaključavanje. Okov mora biti kompletan, kvalitetan i antikorozivno zaštićen. Raditi u svemu prema priloženoj šemi i detalju proizvođača.</t>
  </si>
  <si>
    <r>
      <t xml:space="preserve">NAPOMENA:                                                                     </t>
    </r>
    <r>
      <rPr>
        <sz val="10"/>
        <rFont val="Arial"/>
        <family val="2"/>
      </rPr>
      <t>Deo iznad otvora, specificiran je u okviru zidova od gips kartona ) na delu od spuštenog panela do međuspratne ab ploče, od "UW" profila sa termoispunom i ukrućenjima u svemu prema detalju proizvođača. Pregrada obezbeđuje zvučnu izolaciju od 39db.</t>
    </r>
  </si>
  <si>
    <t>Izrada i montaža punih jednokrilnih i dvokrilnih vrata od eloksiranih al. profila obostrano obložena ravnim eloksiranim al. limom, sa termo ispunom.
Vrata izvesti sa svim potrebnim okovima, dihtunzima, šarkama, odbojnicima, bravom i mehanizmom za samozatvaranje, cilindrom za zaključavanje.</t>
  </si>
  <si>
    <r>
      <t xml:space="preserve">NAPOMENA:                                                                      </t>
    </r>
    <r>
      <rPr>
        <sz val="10"/>
        <rFont val="Arial"/>
        <family val="2"/>
      </rPr>
      <t>U obračun šema ulaze i spoljašnji banci od eloksiranog aluminijskog lima d=1,5 mm u svemu po šemama i detaljima.</t>
    </r>
  </si>
  <si>
    <r>
      <t xml:space="preserve">Zidarska mera 560/400 cm oznaka šeme  </t>
    </r>
    <r>
      <rPr>
        <b/>
        <sz val="10"/>
        <rFont val="Arial"/>
        <family val="2"/>
      </rPr>
      <t>F22</t>
    </r>
  </si>
  <si>
    <r>
      <t xml:space="preserve">Zidarska mera 555/350 cm oznaka šeme  </t>
    </r>
    <r>
      <rPr>
        <b/>
        <sz val="10"/>
        <rFont val="Arial"/>
        <family val="2"/>
      </rPr>
      <t>F23</t>
    </r>
  </si>
  <si>
    <r>
      <t xml:space="preserve">Zidarska mera 280/215+280/250 cm                        oznaka šeme  </t>
    </r>
    <r>
      <rPr>
        <b/>
        <sz val="10"/>
        <rFont val="Arial"/>
        <family val="2"/>
      </rPr>
      <t>F23</t>
    </r>
  </si>
  <si>
    <r>
      <t xml:space="preserve">Zidarska mera 150-193/300 cm oznaka šeme  </t>
    </r>
    <r>
      <rPr>
        <b/>
        <sz val="10"/>
        <rFont val="Arial"/>
        <family val="2"/>
      </rPr>
      <t>F15</t>
    </r>
  </si>
  <si>
    <r>
      <t xml:space="preserve">Zidarska mera 150-193/300 cm oznaka šeme  </t>
    </r>
    <r>
      <rPr>
        <b/>
        <sz val="10"/>
        <rFont val="Arial"/>
        <family val="2"/>
      </rPr>
      <t>F15a</t>
    </r>
  </si>
  <si>
    <r>
      <t xml:space="preserve">Zidarska mera   57-100/300 cm oznaka šeme  </t>
    </r>
    <r>
      <rPr>
        <b/>
        <sz val="10"/>
        <rFont val="Arial"/>
        <family val="2"/>
      </rPr>
      <t>F16</t>
    </r>
  </si>
  <si>
    <r>
      <t xml:space="preserve">Zidarska mera   57-100/300 cm oznaka šeme  </t>
    </r>
    <r>
      <rPr>
        <b/>
        <sz val="10"/>
        <rFont val="Arial"/>
        <family val="2"/>
      </rPr>
      <t>F16a</t>
    </r>
  </si>
  <si>
    <r>
      <t xml:space="preserve">Zidarska mera     50-93/300 cm oznaka šeme  </t>
    </r>
    <r>
      <rPr>
        <b/>
        <sz val="10"/>
        <rFont val="Arial"/>
        <family val="2"/>
      </rPr>
      <t>F17</t>
    </r>
  </si>
  <si>
    <r>
      <t xml:space="preserve">Zidarska mera     50-93/300 cm oznaka šeme  </t>
    </r>
    <r>
      <rPr>
        <b/>
        <sz val="10"/>
        <rFont val="Arial"/>
        <family val="2"/>
      </rPr>
      <t>F17a</t>
    </r>
  </si>
  <si>
    <r>
      <t xml:space="preserve">Zidarska mera        545/400 cm oznaka šeme  </t>
    </r>
    <r>
      <rPr>
        <b/>
        <sz val="10"/>
        <rFont val="Arial"/>
        <family val="2"/>
      </rPr>
      <t>F24</t>
    </r>
  </si>
  <si>
    <r>
      <t xml:space="preserve">Zidarska mera        545/350 cm oznaka šeme  </t>
    </r>
    <r>
      <rPr>
        <b/>
        <sz val="10"/>
        <rFont val="Arial"/>
        <family val="2"/>
      </rPr>
      <t>F24a</t>
    </r>
  </si>
  <si>
    <r>
      <t xml:space="preserve">Zidarska mera        550/400 cm oznaka šeme  </t>
    </r>
    <r>
      <rPr>
        <b/>
        <sz val="10"/>
        <rFont val="Arial"/>
        <family val="2"/>
      </rPr>
      <t>F25</t>
    </r>
  </si>
  <si>
    <r>
      <t xml:space="preserve">Zidarska mera        413/350 cm oznaka šeme  </t>
    </r>
    <r>
      <rPr>
        <b/>
        <sz val="10"/>
        <rFont val="Arial"/>
        <family val="2"/>
      </rPr>
      <t>F26</t>
    </r>
  </si>
  <si>
    <r>
      <t xml:space="preserve">Zidarska mera        100/350 cm oznaka šeme  </t>
    </r>
    <r>
      <rPr>
        <b/>
        <sz val="10"/>
        <rFont val="Arial"/>
        <family val="2"/>
      </rPr>
      <t>F31</t>
    </r>
  </si>
  <si>
    <r>
      <t xml:space="preserve">Zidarska mera        100/240 cm oznaka šeme  </t>
    </r>
    <r>
      <rPr>
        <b/>
        <sz val="10"/>
        <rFont val="Arial"/>
        <family val="2"/>
      </rPr>
      <t>F27</t>
    </r>
  </si>
  <si>
    <r>
      <t xml:space="preserve">Zidarska mera 166-193/190 cm oznaka šeme  </t>
    </r>
    <r>
      <rPr>
        <b/>
        <sz val="10"/>
        <rFont val="Arial"/>
        <family val="2"/>
      </rPr>
      <t>F19</t>
    </r>
  </si>
  <si>
    <r>
      <t xml:space="preserve">Zidarska mera     57-84/190 cm oznaka šeme  </t>
    </r>
    <r>
      <rPr>
        <b/>
        <sz val="10"/>
        <rFont val="Arial"/>
        <family val="2"/>
      </rPr>
      <t>F20</t>
    </r>
  </si>
  <si>
    <r>
      <t xml:space="preserve">Zidarska mera     57-84/190 cm oznaka šeme  </t>
    </r>
    <r>
      <rPr>
        <b/>
        <sz val="10"/>
        <rFont val="Arial"/>
        <family val="2"/>
      </rPr>
      <t>F20a</t>
    </r>
  </si>
  <si>
    <r>
      <t xml:space="preserve">Zidarska mera     66-93/190 cm oznaka šeme  </t>
    </r>
    <r>
      <rPr>
        <b/>
        <sz val="10"/>
        <rFont val="Arial"/>
        <family val="2"/>
      </rPr>
      <t>F21</t>
    </r>
  </si>
  <si>
    <r>
      <t xml:space="preserve">Zidarska mera     66-93/190 cm oznaka šeme  </t>
    </r>
    <r>
      <rPr>
        <b/>
        <sz val="10"/>
        <rFont val="Arial"/>
        <family val="2"/>
      </rPr>
      <t>F21a</t>
    </r>
  </si>
  <si>
    <r>
      <t xml:space="preserve">Zidarska mera          560/85 cm oznaka šeme  </t>
    </r>
    <r>
      <rPr>
        <b/>
        <sz val="10"/>
        <rFont val="Arial"/>
        <family val="2"/>
      </rPr>
      <t>F36'</t>
    </r>
  </si>
  <si>
    <r>
      <t xml:space="preserve">Zidarska mera        100/240 cm oznaka šeme  </t>
    </r>
    <r>
      <rPr>
        <b/>
        <sz val="10"/>
        <rFont val="Arial"/>
        <family val="2"/>
      </rPr>
      <t>F30</t>
    </r>
  </si>
  <si>
    <r>
      <t xml:space="preserve">Zidarska mera 400/100 cm oznaka šeme  </t>
    </r>
    <r>
      <rPr>
        <b/>
        <sz val="10"/>
        <rFont val="Arial"/>
        <family val="2"/>
      </rPr>
      <t>F5</t>
    </r>
  </si>
  <si>
    <r>
      <t xml:space="preserve">Zidarska mera 400/100 cm oznaka šeme  </t>
    </r>
    <r>
      <rPr>
        <b/>
        <sz val="10"/>
        <rFont val="Arial"/>
        <family val="2"/>
      </rPr>
      <t>F5a</t>
    </r>
  </si>
  <si>
    <r>
      <t xml:space="preserve">Zidarska mera 400/200 cm oznaka šeme  </t>
    </r>
    <r>
      <rPr>
        <b/>
        <sz val="10"/>
        <rFont val="Arial"/>
        <family val="2"/>
      </rPr>
      <t>F6</t>
    </r>
  </si>
  <si>
    <r>
      <t xml:space="preserve">Zidarska mera 400/200 cm oznaka šeme  </t>
    </r>
    <r>
      <rPr>
        <b/>
        <sz val="10"/>
        <rFont val="Arial"/>
        <family val="2"/>
      </rPr>
      <t>F7</t>
    </r>
  </si>
  <si>
    <r>
      <t xml:space="preserve">Zidarska mera 200/200 cm oznaka šeme  </t>
    </r>
    <r>
      <rPr>
        <b/>
        <sz val="10"/>
        <rFont val="Arial"/>
        <family val="2"/>
      </rPr>
      <t>F8</t>
    </r>
  </si>
  <si>
    <r>
      <t xml:space="preserve">Zidarska mera 100/200 cm oznaka šeme  </t>
    </r>
    <r>
      <rPr>
        <b/>
        <sz val="10"/>
        <rFont val="Arial"/>
        <family val="2"/>
      </rPr>
      <t>F9</t>
    </r>
  </si>
  <si>
    <r>
      <t xml:space="preserve">Zidarska mera 100/190 cm oznaka šeme  </t>
    </r>
    <r>
      <rPr>
        <b/>
        <sz val="10"/>
        <rFont val="Arial"/>
        <family val="2"/>
      </rPr>
      <t>F11</t>
    </r>
  </si>
  <si>
    <r>
      <t xml:space="preserve">Zidarska mera   300/240 cm oznaka šeme  </t>
    </r>
    <r>
      <rPr>
        <b/>
        <sz val="10"/>
        <rFont val="Arial"/>
        <family val="2"/>
      </rPr>
      <t>F28</t>
    </r>
  </si>
  <si>
    <r>
      <t xml:space="preserve">Zidarska mera     560/85 cm oznaka šeme  </t>
    </r>
    <r>
      <rPr>
        <b/>
        <sz val="10"/>
        <rFont val="Arial"/>
        <family val="2"/>
      </rPr>
      <t>F36</t>
    </r>
  </si>
  <si>
    <r>
      <t xml:space="preserve">Zidarska mera    560/215 cm oznaka šeme  </t>
    </r>
    <r>
      <rPr>
        <b/>
        <sz val="10"/>
        <rFont val="Arial"/>
        <family val="2"/>
      </rPr>
      <t>F38</t>
    </r>
  </si>
  <si>
    <r>
      <t xml:space="preserve">Zidarska mera   100/190 cm oznaka šeme   </t>
    </r>
    <r>
      <rPr>
        <b/>
        <sz val="10"/>
        <rFont val="Arial"/>
        <family val="2"/>
      </rPr>
      <t>F18</t>
    </r>
  </si>
  <si>
    <r>
      <t xml:space="preserve">Zastakljivanje: Termoizolacionim staklo paketima
</t>
    </r>
    <r>
      <rPr>
        <sz val="10"/>
        <rFont val="Arial"/>
        <family val="2"/>
      </rPr>
      <t xml:space="preserve">Na delovima iznad otvarajućeg
4.4.2 (8.76mm) laminirano providno niskoemisiono staklo (spolja), 16mm, 3.3.2 (6.76mm) laminirano providno (unutra). </t>
    </r>
    <r>
      <rPr>
        <sz val="10"/>
        <rFont val="Arial"/>
        <family val="2"/>
      </rPr>
      <t xml:space="preserve">
</t>
    </r>
  </si>
  <si>
    <r>
      <t xml:space="preserve">Zidarska mera   300/270 cm oznaka šeme  </t>
    </r>
    <r>
      <rPr>
        <b/>
        <sz val="10"/>
        <rFont val="Arial"/>
        <family val="2"/>
      </rPr>
      <t>F10b</t>
    </r>
  </si>
  <si>
    <r>
      <t xml:space="preserve">Zidarska mera     80/270 cm oznaka šeme  </t>
    </r>
    <r>
      <rPr>
        <b/>
        <sz val="10"/>
        <rFont val="Arial"/>
        <family val="2"/>
      </rPr>
      <t>F10c</t>
    </r>
  </si>
  <si>
    <r>
      <t xml:space="preserve">Zidarska mera     100/250 cm oznaka šeme  </t>
    </r>
    <r>
      <rPr>
        <b/>
        <sz val="10"/>
        <rFont val="Arial"/>
        <family val="2"/>
      </rPr>
      <t>F10</t>
    </r>
  </si>
  <si>
    <r>
      <t xml:space="preserve">Zidarska mera    100/300 cm oznaka šeme  </t>
    </r>
    <r>
      <rPr>
        <b/>
        <sz val="10"/>
        <rFont val="Arial"/>
        <family val="2"/>
      </rPr>
      <t>F10a</t>
    </r>
  </si>
  <si>
    <r>
      <t xml:space="preserve">Zidarska mera   650/343 cm oznaka šeme  </t>
    </r>
    <r>
      <rPr>
        <b/>
        <sz val="10"/>
        <rFont val="Arial"/>
        <family val="2"/>
      </rPr>
      <t>F12</t>
    </r>
  </si>
  <si>
    <r>
      <t xml:space="preserve">Zidarska mera   656/343 cm oznaka šeme  </t>
    </r>
    <r>
      <rPr>
        <b/>
        <sz val="10"/>
        <rFont val="Arial"/>
        <family val="2"/>
      </rPr>
      <t>F12a</t>
    </r>
  </si>
  <si>
    <r>
      <t xml:space="preserve">Zidarska mera     57/343 cm oznaka šeme  </t>
    </r>
    <r>
      <rPr>
        <b/>
        <sz val="10"/>
        <rFont val="Arial"/>
        <family val="2"/>
      </rPr>
      <t>F12b</t>
    </r>
  </si>
  <si>
    <r>
      <t xml:space="preserve">Zidarska mera   650/343 cm oznaka šeme  </t>
    </r>
    <r>
      <rPr>
        <b/>
        <sz val="10"/>
        <rFont val="Arial"/>
        <family val="2"/>
      </rPr>
      <t>F13</t>
    </r>
  </si>
  <si>
    <r>
      <t xml:space="preserve">Zidarska mera   676/343 cm oznaka šeme  </t>
    </r>
    <r>
      <rPr>
        <b/>
        <sz val="10"/>
        <rFont val="Arial"/>
        <family val="2"/>
      </rPr>
      <t>F13a</t>
    </r>
  </si>
  <si>
    <r>
      <t xml:space="preserve">Zidarska mera     57/343 cm oznaka šeme  </t>
    </r>
    <r>
      <rPr>
        <b/>
        <sz val="10"/>
        <rFont val="Arial"/>
        <family val="2"/>
      </rPr>
      <t>F13b</t>
    </r>
  </si>
  <si>
    <r>
      <t>Dimenzija   32/320 cm oznaka šeme</t>
    </r>
    <r>
      <rPr>
        <b/>
        <sz val="10"/>
        <rFont val="Arial"/>
        <family val="2"/>
      </rPr>
      <t xml:space="preserve">  F32a</t>
    </r>
  </si>
  <si>
    <r>
      <t>Dimenzija   32/340 cm oznaka šeme</t>
    </r>
    <r>
      <rPr>
        <b/>
        <sz val="10"/>
        <rFont val="Arial"/>
        <family val="2"/>
      </rPr>
      <t xml:space="preserve">  F32b</t>
    </r>
  </si>
  <si>
    <r>
      <t>Dimenzija   32/330 cm oznaka šeme</t>
    </r>
    <r>
      <rPr>
        <b/>
        <sz val="10"/>
        <rFont val="Arial"/>
        <family val="2"/>
      </rPr>
      <t xml:space="preserve">  F32c</t>
    </r>
  </si>
  <si>
    <r>
      <t>Dimenzija   32/390 cm oznaka šeme</t>
    </r>
    <r>
      <rPr>
        <b/>
        <sz val="10"/>
        <rFont val="Arial"/>
        <family val="2"/>
      </rPr>
      <t xml:space="preserve">  F32d</t>
    </r>
  </si>
  <si>
    <r>
      <t>Dimenzija   32/220 cm oznaka šeme</t>
    </r>
    <r>
      <rPr>
        <b/>
        <sz val="10"/>
        <rFont val="Arial"/>
        <family val="2"/>
      </rPr>
      <t xml:space="preserve">  F32e</t>
    </r>
  </si>
  <si>
    <r>
      <t>Dimenzija   32/175 cm oznaka šeme</t>
    </r>
    <r>
      <rPr>
        <b/>
        <sz val="10"/>
        <rFont val="Arial"/>
        <family val="2"/>
      </rPr>
      <t xml:space="preserve">  F32f</t>
    </r>
  </si>
  <si>
    <r>
      <t>Dimenzija   32/460 cm oznaka šeme</t>
    </r>
    <r>
      <rPr>
        <b/>
        <sz val="10"/>
        <rFont val="Arial"/>
        <family val="2"/>
      </rPr>
      <t xml:space="preserve">  F32g</t>
    </r>
  </si>
  <si>
    <r>
      <t>Dimenzija   32/430 cm oznaka šeme</t>
    </r>
    <r>
      <rPr>
        <b/>
        <sz val="10"/>
        <rFont val="Arial"/>
        <family val="2"/>
      </rPr>
      <t xml:space="preserve">  F32h</t>
    </r>
  </si>
  <si>
    <r>
      <t>Dimenzija   32/515 cm oznaka šeme</t>
    </r>
    <r>
      <rPr>
        <b/>
        <sz val="10"/>
        <rFont val="Arial"/>
        <family val="2"/>
      </rPr>
      <t xml:space="preserve">  F32i</t>
    </r>
  </si>
  <si>
    <r>
      <t>Dimenzija   32/140 cm oznaka šeme</t>
    </r>
    <r>
      <rPr>
        <b/>
        <sz val="10"/>
        <rFont val="Arial"/>
        <family val="2"/>
      </rPr>
      <t xml:space="preserve">  F32i</t>
    </r>
  </si>
  <si>
    <r>
      <t>Dimenzija   32/150 cm oznaka šeme</t>
    </r>
    <r>
      <rPr>
        <b/>
        <sz val="10"/>
        <rFont val="Arial"/>
        <family val="2"/>
      </rPr>
      <t xml:space="preserve">  F32k</t>
    </r>
  </si>
  <si>
    <r>
      <t>Dimenzija   32/170 cm oznaka šeme</t>
    </r>
    <r>
      <rPr>
        <b/>
        <sz val="10"/>
        <rFont val="Arial"/>
        <family val="2"/>
      </rPr>
      <t xml:space="preserve">  F32l</t>
    </r>
  </si>
  <si>
    <r>
      <t>Dimenzija   32/215 cm oznaka šeme</t>
    </r>
    <r>
      <rPr>
        <b/>
        <sz val="10"/>
        <rFont val="Arial"/>
        <family val="2"/>
      </rPr>
      <t xml:space="preserve">  F32lj</t>
    </r>
  </si>
  <si>
    <r>
      <t>Dimenzija   32/320 cm oznaka šeme</t>
    </r>
    <r>
      <rPr>
        <b/>
        <sz val="10"/>
        <rFont val="Arial"/>
        <family val="2"/>
      </rPr>
      <t xml:space="preserve">  F32m</t>
    </r>
  </si>
  <si>
    <r>
      <t>Dimenzija   32/280 cm oznaka šeme</t>
    </r>
    <r>
      <rPr>
        <b/>
        <sz val="10"/>
        <rFont val="Arial"/>
        <family val="2"/>
      </rPr>
      <t xml:space="preserve">  F32n</t>
    </r>
  </si>
  <si>
    <r>
      <t>Dimenzija   32/180 cm oznaka šeme</t>
    </r>
    <r>
      <rPr>
        <b/>
        <sz val="10"/>
        <rFont val="Arial"/>
        <family val="2"/>
      </rPr>
      <t xml:space="preserve">  F32nj</t>
    </r>
  </si>
  <si>
    <t>Žaluzine se ugrađuju u fasadu od AB zida 20cm, termoizolaciji 12cm i malter.
Sav materijal za izradu žaluzine, materijal za pričvršćivanje i izradu izolacije na spojevima sa fasadnom oblogom punih delova fasade, kao i sve dekorativne opšivke sa spoljne i unutrašnje strane, spadaju u obim radova ove pozicije.</t>
  </si>
  <si>
    <t>Izgradnja i montaža metalne ograde u stapenišnom prostoru. Ograda je izgrađena od čeličnih inoks profila. Stubići su flahovi: 2x # 50/8 mm .Horizontale su sajle ∅0.5mm na rastojanju od 15cm i 10cm koje su zatezačima sajli razapete između stubića izgrađenih od čeličnih inoks flahova # 35x14mm.</t>
  </si>
  <si>
    <t>Izgradnja i montaža metalne ograde na rampi.
Ograda je izgrađena od čeličnih inoks profila.</t>
  </si>
  <si>
    <t>Vertikalni profili  su od flaha:  # 50/30 mm. Rukohvat je izgrađen od čeličnih inoks kutija 80x30mm koji se fixira. Ogradu fiksirati za noseću AB konstrukciju.               Visina ograde h=12+88cm.</t>
  </si>
  <si>
    <t>Podkonstrukcija za oslanjanje nasadnog venca jeste u poziciji armiranobetonske konstrukcije krova. U slučaju požara - zbog odimljavanja potrebno je da se ovi svetlarnici otvaraju, daljinski  iz posebnih komandnih ormana. Otvaranje kupole je ostvareno sa elektromotornim pogonom 230V koje omogućava podizanje. Kupola je opremljena krajnjim prekidačima za signalizaciju položaja. Obračun po komadu sa svim potrebnim elementima.</t>
  </si>
  <si>
    <t>Pozicija obuhvata i čeličnu podkonstrukciju kao i aluminijumski ram za nošenje dvokrilnih zastakljenih vratašca postavljenih u nivou spuštenog plafona. Dratašca snabdeti potrebnim magnetima za mogućnost otvaranja i ostajanja u otvorenom položaju. Zastakljivanje se vrši providnim staklom 6.1.6, laminirano providno staklo, ravno. Zastakljenje izvesti gumenim zaptivkama.</t>
  </si>
  <si>
    <t>Nabavka i montaža svetlosne kupole sa otvaranjem. Nadsvetlarnik je dim. 100/100cm, h=30cm sa termoizolovanim postoljem. Okvir je od al. profila i integrisan je u zid podnožja za mehaničko pričvršćivanje izolacije, sa dvoslojnom površinom za osvetljenje od akrilnog (polikarbonatnog) -veralite-  teško gorivi, ne goreći kapajući materijal opal providne boje.</t>
  </si>
  <si>
    <t>podesti i međupodesti
(3,4*(1,95*1+1,85+1,65)+3,4*(1,65*3+1,95*3)*2)*1,01</t>
  </si>
  <si>
    <t>Otirač se postavlja u  upušten pod oivičen  - ramom -  L40/40/3mm profilima. Boja po izboru projektanta.</t>
  </si>
  <si>
    <t>Izrada i montaža fasadne pregrade sa vratima:
U fasadnu konstrukciju se ugrađuje fasadna pregrada sa vratima u ramu od aluminjumskih profila sa termičkim prekidom. Površinska obrada profila: Eloksaža u sloju od min 20μm u tonu crne-grafitne   (E 5). Svi čelični delovi konstrukcije treba da su toplo cinkovani (klasa antikorozivne zaštite C3), a vidni delovi bojeni bojom namenjenom za nanošenje na bojene metale u tonu  E 5.
Zastakljivanje: Termoizolacionim staklo paketima
Na fiksnim fasadnim poljima:</t>
  </si>
  <si>
    <t>Na fiksnim fasadnim poljima i vratima:
5.5.2 (10.76mm) laminirano providno niskoemisiono staklo (spolja), 16mm, 4.4.2 (8.76mm) laminirano providno (unutra).
Vrata su snabdevena potrebnim okovom od eloksiranog aluminijuma, odgovarajućim šarkama (3 šarke po krilu),  ukopavajućom cilindar bravom sa 3 ključa plus master ključ.</t>
  </si>
  <si>
    <t xml:space="preserve">Na visini od 100cm od kote poda predvideti rukohvat od eloksiranog aluminijuma crna-grafitna E5, kutijastog profuija dimenzije 80x20mm u širini otvora.
Pregrada treba da zadovolji traženi koeficijent prolaza toplote Uw&lt;1,2W/m2K i faktorom propustljivosti sunčevog zračenja g=0,35.
</t>
  </si>
  <si>
    <t>Izrada i montaža fasadne pregrade :
U fasadnu konstrukciju se ugrađuje fasadna pregrada u ramu od aluminjumskih profila sa termičkim prekidom. 
Površinska obrada profila: Eloksaža u sloju od min 20μm u tonu crne-grafitne (E 5). Svi čelični delovi konstrukcije treba da su toplo cinkovani (klasa antikor-ozivne zaštite C3), a vidni delovi bojeni bojom name-njenom za nanošenje na bojene metale u tonu E 5.
Zastakljivanje: Termoizolacionim staklo paketima
Na fiksnim fasadnim poljima:</t>
  </si>
  <si>
    <t>Na fiksnim fasadnim poljima:
5.5.2 (10.76mm) laminirano providno niskoemisiono staklo (spolja), 16mm, 4.4.2 (8.76mm) laminirano providno (unutra).</t>
  </si>
  <si>
    <t xml:space="preserve">Izrada i montaža fasadne pregrade :
U fasadnu konstrukciju se ugrađuje fasadna pregrada u ramu od aluminjumskih profila sa termičkim prekidom. Površinska obrada profila:
Eloksaža u sloju od min 20μm u tonu crne-grafitne (E 5). Svi čelični delovi konstrukcije treba da su toplo cinkovani (klasa antikorozivne zaštite C3), a vidni delovi bojeni bojom namenjenom za nanošenje na bojene metale u tonu E 5.
</t>
  </si>
  <si>
    <t>Zastakljivanje: Termoizolacionim staklo paketima: - Na fiksnim fasadnim poljima:
4.4.2 (8.76mm) laminirano providno niskoemisiono staklo (spolja), 16mm, 3.3.2 (6.76mm) laminirano providno (unutra).
Staklo paket treba da zadovolji sledeće karakteristike:</t>
  </si>
  <si>
    <t>Na otvarajućim i fiksnim poljima: 
4.4.2 (8.76mm) laminirano providno niskoemisiono staklo (spolja), 16mm, 3.3.2 (6.76mm) laminirano providno (unutra). 
Staklo paket treba da zadovolji sledeće karakteristike:</t>
  </si>
  <si>
    <t>Površinska obrada svih aluminijumskih elemenata treba da je anodizirana (15-20micron) u boji crne-grafitne (E 5). 
Dimenzije rama (visina i širina) zavise od opterećenja na vetar. Proizvođač je dužan da izvrši proračun i u skladu sa svojom skalom i dimenzioniše visinu i širinu rama. Totalna visina kliznog sistema uključuje rastojanje od gornje do donje šine.</t>
  </si>
  <si>
    <t xml:space="preserve"> PREDMER RADOVA</t>
  </si>
  <si>
    <t>Svi stavovi predmera podrazumevaju izvođenje svake pozicije rada bezuslovno stručno, precizno i kvalitetno, a u svemu prema: odobrenim crtežima, tehničkom opisu i opisima u ovom predmeru,  važećim tehničkim propisima,  opšte tehničkim uslovima za izvođenje građevinskih i građevinsko zanatskih radova, instalaterskih i svih radova obuhvaćenih projektom, standardima i uputstvima nadzornog organa i projektanta, ukoliko u dotičnoj poziciji nije drugačije uslovljeno.</t>
  </si>
  <si>
    <t>Sastavni deo ovog predmera su OPŠTI TEHNIČKI USLOVI ZA IZVOĐENjE  RADOVA koji se prilažu uz projekat i svi ostali delovi Glavnog projekta</t>
  </si>
  <si>
    <t>Ponuđačima je dozvoljeno da za nuđenje svake pozicije mogu dati alternativu koja će odgovarati projektom predviđen kvalitet, uslove, opise, standarde uz neophodnu pisanu saglasnost  Naručioca.</t>
  </si>
  <si>
    <t>U okviru pozicije  obračunate su i keceljice iznad pozicija pregrada i vrata. Ukalkulisati u cenu sva potrebna ojačanja, ispune i obloge u skladu sa montažnom pregradom u kojoj se nalaze.</t>
  </si>
  <si>
    <t>Napomena:  Termička izolacija mora da bude klase gorivosti A1- ne goriva</t>
  </si>
  <si>
    <t xml:space="preserve"> -Parna brana: bitumenska traka sa ALU folijom d=0,5cm (950kg/m3). Parnu branu postaviti sa preklopom od 5cm a spojevi zaptiveni</t>
  </si>
  <si>
    <r>
      <t xml:space="preserve">NAPOMENA:
</t>
    </r>
    <r>
      <rPr>
        <sz val="10"/>
        <rFont val="Arial"/>
        <family val="2"/>
      </rPr>
      <t xml:space="preserve">Sve mere proveriti na licu mesta. Dimenzije otvora su date u zidarskim merama. U svemu prema opštem opisu, 
predmeru radova, šemi, izvođačkim detaljima i važećim propisima i standardima. Izvođač je dužan da sve detalje 
usaglasi i overi kod projektanta, kao i da podnese odgovarajuće sigurnosne ateste i sertifikate o kavlitetu. U jediničnu cenu kalkulisati sve neophodne konstruktivne elemente za obezbedjenje stabilnosti i sigurnosti  otvora.
</t>
    </r>
  </si>
  <si>
    <t xml:space="preserve"> PREDMER RADOVA-ARHITEKTONSKO GRAĐEVINSKI RADOVI</t>
  </si>
  <si>
    <t>Cene dati u evrima bez obračunatog PDV-a.</t>
  </si>
  <si>
    <t xml:space="preserve">jedinična cena </t>
  </si>
  <si>
    <t xml:space="preserve">ukupna cena </t>
  </si>
  <si>
    <t>ukupno</t>
  </si>
  <si>
    <t xml:space="preserve">UKUPNO </t>
  </si>
  <si>
    <t xml:space="preserve">UKUPNO  </t>
  </si>
  <si>
    <t>Jediničnom cenom svake pozicije obuhvatiti  sve aktivnosti kojima se obezbeđuje bezbedan i zdrav rad na gradilištu uz primenu važećih zakona, propisa i pravilnika, svi pripremni radovi po vrstama radova (radovi na formiranju gradilišta, organizaciji gradilišta, izradi svih gradilišnih priključaka, naknada, dozvola, saglasnosti koje su obaveza izvođača radova, signalizaciji, obeležavanju, ograđivanju, izradi zaštitnih nadstrešnica, obezbeđenje sanitarnih uslova, pijaće vode i toaleta, kontejneri ...), dovoz i doprema materijala, ljudstva, alata i mašina, opreme, instalacija, čuvanje, obezbeđenje gradilišta, ispitivanja i potvrda kvaliteta radova i materijala, redovno čišćenje gradilišta, redovno geodetsko snimanje i utvrđivanje projektovanih, izvedenih i konačnih kota, praćenje repera, završno ispitivanje svih neophodnih pozicija, instalacija, uređaja. Izvođač jediničnom cenom mora da obuhvati i izradu izvođačkih detalja i projekata i projekata izvedenog stanja  ukoliko se odstupi od glavnog projekta. Projekat izvedenog stanja raditi u 3 štampana primerka i elektronski na CD-u i predati  nakon završetka svih radova Naručiocu.</t>
  </si>
  <si>
    <t>Pre početka izvođenja radova izvođač je u obavezi da izradi sinhron plan unutrašnjih instalacija i arhitektonsko građevinskog projekta i dostavi naručiocu potvrdu o prihvatanju glavnog projekta.</t>
  </si>
  <si>
    <t>Nabavka materijala, transport i izrada sloja lakoarmiranog sitnozrnog betona, podloga za postavljanje podova. Gornju površinu fino nivelisati i perdašiti u skladu sa završnom obradom. Razmere 1:3. Armaturna mreža ulazi u jediničnu cenu.Obračun po  m2.</t>
  </si>
  <si>
    <t>12-00</t>
  </si>
  <si>
    <t>11-00</t>
  </si>
  <si>
    <t>PODOPOLAGACKI RADOVI</t>
  </si>
</sst>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00_);_(* \(#,##0.00\);_(* &quot;-&quot;??_);_(@_)"/>
    <numFmt numFmtId="165" formatCode="0.0"/>
    <numFmt numFmtId="166" formatCode="_-* #,##0.00\ _Д_и_н_._-;\-* #,##0.00\ _Д_и_н_._-;_-* &quot;-&quot;??\ _Д_и_н_._-;_-@_-"/>
    <numFmt numFmtId="167" formatCode="[$-81A]d\.\ mmmm\ yyyy\."/>
    <numFmt numFmtId="168" formatCode="&quot;Yes&quot;;&quot;Yes&quot;;&quot;No&quot;"/>
    <numFmt numFmtId="169" formatCode="&quot;True&quot;;&quot;True&quot;;&quot;False&quot;"/>
    <numFmt numFmtId="170" formatCode="&quot;On&quot;;&quot;On&quot;;&quot;Off&quot;"/>
    <numFmt numFmtId="171" formatCode="[$€-2]\ #,##0.00_);[Red]\([$€-2]\ #,##0.00\)"/>
    <numFmt numFmtId="172" formatCode="[$-81A]dd\.\ mmmm\ yyyy\."/>
    <numFmt numFmtId="173" formatCode="00\-00"/>
    <numFmt numFmtId="174" formatCode="0.00000"/>
    <numFmt numFmtId="175" formatCode="0.0000"/>
    <numFmt numFmtId="176" formatCode="0.000"/>
    <numFmt numFmtId="177" formatCode="_-* #,##0.00_р_._-;\-* #,##0.00_р_._-;_-* &quot;-&quot;??_р_._-;_-@_-"/>
    <numFmt numFmtId="178" formatCode="0.000000"/>
    <numFmt numFmtId="179" formatCode="0.0000000"/>
  </numFmts>
  <fonts count="82">
    <font>
      <sz val="12"/>
      <name val="Arial"/>
      <family val="0"/>
    </font>
    <font>
      <sz val="12"/>
      <color indexed="8"/>
      <name val="Arial"/>
      <family val="2"/>
    </font>
    <font>
      <sz val="10"/>
      <name val="Arial"/>
      <family val="2"/>
    </font>
    <font>
      <sz val="11"/>
      <name val="Arial"/>
      <family val="2"/>
    </font>
    <font>
      <b/>
      <sz val="10"/>
      <name val="Arial"/>
      <family val="2"/>
    </font>
    <font>
      <b/>
      <sz val="14"/>
      <name val="Arial"/>
      <family val="2"/>
    </font>
    <font>
      <b/>
      <sz val="12"/>
      <name val="Arial"/>
      <family val="2"/>
    </font>
    <font>
      <sz val="10"/>
      <name val="Yu Times New Roman"/>
      <family val="1"/>
    </font>
    <font>
      <b/>
      <u val="single"/>
      <sz val="10"/>
      <name val="Arial"/>
      <family val="2"/>
    </font>
    <font>
      <sz val="10"/>
      <name val="Calibri"/>
      <family val="2"/>
    </font>
    <font>
      <sz val="9"/>
      <name val="Arial"/>
      <family val="2"/>
    </font>
    <font>
      <sz val="9"/>
      <name val="Calibri"/>
      <family val="2"/>
    </font>
    <font>
      <b/>
      <sz val="9"/>
      <name val="Arial"/>
      <family val="2"/>
    </font>
    <font>
      <i/>
      <sz val="10"/>
      <name val="Arial"/>
      <family val="2"/>
    </font>
    <font>
      <sz val="8"/>
      <name val="Arial"/>
      <family val="2"/>
    </font>
    <font>
      <u val="single"/>
      <sz val="10"/>
      <name val="Arial"/>
      <family val="2"/>
    </font>
    <font>
      <vertAlign val="superscript"/>
      <sz val="10"/>
      <name val="Arial"/>
      <family val="2"/>
    </font>
    <font>
      <b/>
      <i/>
      <sz val="10"/>
      <name val="Arial"/>
      <family val="2"/>
    </font>
    <font>
      <b/>
      <i/>
      <sz val="8"/>
      <name val="Arial"/>
      <family val="2"/>
    </font>
    <font>
      <b/>
      <sz val="8"/>
      <name val="Arial"/>
      <family val="2"/>
    </font>
    <font>
      <b/>
      <sz val="10"/>
      <name val="Vrinda"/>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36"/>
      <name val="Arial"/>
      <family val="2"/>
    </font>
    <font>
      <sz val="10"/>
      <color indexed="10"/>
      <name val="Arial"/>
      <family val="2"/>
    </font>
    <font>
      <sz val="10"/>
      <color indexed="17"/>
      <name val="Arial"/>
      <family val="2"/>
    </font>
    <font>
      <sz val="16"/>
      <color indexed="10"/>
      <name val="Arial"/>
      <family val="2"/>
    </font>
    <font>
      <b/>
      <sz val="10"/>
      <color indexed="10"/>
      <name val="Arial"/>
      <family val="2"/>
    </font>
    <font>
      <sz val="9"/>
      <color indexed="10"/>
      <name val="Arial"/>
      <family val="2"/>
    </font>
    <font>
      <sz val="8"/>
      <color indexed="36"/>
      <name val="Arial"/>
      <family val="2"/>
    </font>
    <font>
      <sz val="8"/>
      <color indexed="10"/>
      <name val="Arial"/>
      <family val="2"/>
    </font>
    <font>
      <b/>
      <sz val="8"/>
      <color indexed="10"/>
      <name val="Arial"/>
      <family val="2"/>
    </font>
    <font>
      <b/>
      <sz val="10"/>
      <color indexed="36"/>
      <name val="Arial"/>
      <family val="2"/>
    </font>
    <font>
      <b/>
      <sz val="10"/>
      <color indexed="17"/>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7030A0"/>
      <name val="Arial"/>
      <family val="2"/>
    </font>
    <font>
      <sz val="10"/>
      <color rgb="FFFF0000"/>
      <name val="Arial"/>
      <family val="2"/>
    </font>
    <font>
      <sz val="10"/>
      <color theme="6" tint="-0.4999699890613556"/>
      <name val="Arial"/>
      <family val="2"/>
    </font>
    <font>
      <sz val="16"/>
      <color rgb="FFFF0000"/>
      <name val="Arial"/>
      <family val="2"/>
    </font>
    <font>
      <b/>
      <sz val="10"/>
      <color rgb="FFFF0000"/>
      <name val="Arial"/>
      <family val="2"/>
    </font>
    <font>
      <sz val="9"/>
      <color rgb="FFFF0000"/>
      <name val="Arial"/>
      <family val="2"/>
    </font>
    <font>
      <sz val="8"/>
      <color rgb="FF7030A0"/>
      <name val="Arial"/>
      <family val="2"/>
    </font>
    <font>
      <sz val="8"/>
      <color rgb="FFFF0000"/>
      <name val="Arial"/>
      <family val="2"/>
    </font>
    <font>
      <b/>
      <sz val="8"/>
      <color rgb="FFFF0000"/>
      <name val="Arial"/>
      <family val="2"/>
    </font>
    <font>
      <b/>
      <sz val="10"/>
      <color rgb="FF7030A0"/>
      <name val="Arial"/>
      <family val="2"/>
    </font>
    <font>
      <b/>
      <sz val="10"/>
      <color theme="6"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style="thin"/>
      <top style="thin"/>
      <bottom style="thin"/>
    </border>
    <border>
      <left/>
      <right/>
      <top style="thin"/>
      <bottom style="thin"/>
    </border>
    <border>
      <left style="thin"/>
      <right>
        <color indexed="63"/>
      </right>
      <top style="thin"/>
      <bottom style="thin"/>
    </border>
    <border>
      <left>
        <color indexed="63"/>
      </left>
      <right style="thin"/>
      <top style="thin"/>
      <bottom/>
    </border>
    <border>
      <left>
        <color indexed="63"/>
      </left>
      <right style="thin"/>
      <top/>
      <bottom style="thin"/>
    </border>
    <border>
      <left style="thin"/>
      <right style="thin"/>
      <top/>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56"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34">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center"/>
    </xf>
    <xf numFmtId="4" fontId="2" fillId="0" borderId="0" xfId="0" applyNumberFormat="1" applyFont="1" applyAlignment="1">
      <alignment/>
    </xf>
    <xf numFmtId="0" fontId="4" fillId="0" borderId="0" xfId="0" applyFont="1" applyAlignment="1">
      <alignment horizontal="center" vertical="top"/>
    </xf>
    <xf numFmtId="0" fontId="4" fillId="0" borderId="0" xfId="0" applyFont="1" applyAlignment="1">
      <alignment horizontal="justify" vertical="top" wrapText="1"/>
    </xf>
    <xf numFmtId="4" fontId="4" fillId="0" borderId="0" xfId="0" applyNumberFormat="1" applyFont="1" applyAlignment="1">
      <alignment/>
    </xf>
    <xf numFmtId="0" fontId="2" fillId="0" borderId="13" xfId="0" applyFont="1" applyBorder="1" applyAlignment="1">
      <alignment/>
    </xf>
    <xf numFmtId="0" fontId="4" fillId="0" borderId="13" xfId="0" applyFont="1" applyBorder="1" applyAlignment="1">
      <alignment horizontal="right"/>
    </xf>
    <xf numFmtId="4" fontId="4" fillId="0" borderId="13" xfId="0" applyNumberFormat="1" applyFont="1" applyBorder="1" applyAlignment="1">
      <alignment/>
    </xf>
    <xf numFmtId="0" fontId="2" fillId="0" borderId="13" xfId="0" applyFont="1" applyBorder="1" applyAlignment="1">
      <alignment horizontal="center" vertical="top"/>
    </xf>
    <xf numFmtId="0" fontId="6" fillId="0" borderId="0" xfId="0" applyFont="1" applyAlignment="1">
      <alignment horizontal="center" vertical="center"/>
    </xf>
    <xf numFmtId="0" fontId="2" fillId="0" borderId="0" xfId="0" applyFont="1" applyAlignment="1">
      <alignment horizontal="right" vertical="top"/>
    </xf>
    <xf numFmtId="0" fontId="2" fillId="0" borderId="0" xfId="0" applyFont="1" applyBorder="1" applyAlignment="1">
      <alignment horizontal="center" vertical="top"/>
    </xf>
    <xf numFmtId="0" fontId="4" fillId="0" borderId="0" xfId="0" applyFont="1" applyAlignment="1">
      <alignment/>
    </xf>
    <xf numFmtId="4" fontId="4" fillId="0" borderId="13" xfId="0" applyNumberFormat="1" applyFont="1" applyBorder="1" applyAlignment="1">
      <alignment horizontal="right"/>
    </xf>
    <xf numFmtId="0" fontId="2" fillId="0" borderId="0" xfId="0" applyFont="1" applyBorder="1" applyAlignment="1">
      <alignment horizontal="justify" vertical="top" wrapText="1"/>
    </xf>
    <xf numFmtId="4" fontId="4" fillId="0" borderId="0" xfId="0" applyNumberFormat="1" applyFont="1" applyBorder="1" applyAlignment="1">
      <alignment/>
    </xf>
    <xf numFmtId="0" fontId="2" fillId="0" borderId="0" xfId="0" applyFont="1" applyAlignment="1">
      <alignment vertical="top"/>
    </xf>
    <xf numFmtId="0" fontId="8" fillId="0" borderId="0" xfId="0" applyFont="1" applyAlignment="1">
      <alignment/>
    </xf>
    <xf numFmtId="0" fontId="2" fillId="0" borderId="12" xfId="0" applyFont="1" applyBorder="1" applyAlignment="1">
      <alignment horizontal="center" vertical="center" wrapText="1"/>
    </xf>
    <xf numFmtId="0" fontId="2" fillId="0" borderId="0" xfId="0" applyFont="1" applyBorder="1" applyAlignment="1">
      <alignment horizontal="center"/>
    </xf>
    <xf numFmtId="4" fontId="2" fillId="0" borderId="0" xfId="0" applyNumberFormat="1" applyFont="1" applyBorder="1" applyAlignment="1">
      <alignment/>
    </xf>
    <xf numFmtId="49" fontId="2" fillId="0" borderId="0" xfId="0" applyNumberFormat="1" applyFont="1" applyBorder="1" applyAlignment="1">
      <alignment horizontal="left" vertical="top" wrapText="1"/>
    </xf>
    <xf numFmtId="4" fontId="2" fillId="0" borderId="0" xfId="0" applyNumberFormat="1" applyFont="1" applyBorder="1" applyAlignment="1">
      <alignment horizontal="right"/>
    </xf>
    <xf numFmtId="0" fontId="2" fillId="0" borderId="14" xfId="0" applyFont="1" applyBorder="1" applyAlignment="1">
      <alignment horizontal="center" vertical="center" wrapText="1"/>
    </xf>
    <xf numFmtId="0" fontId="2" fillId="0" borderId="0" xfId="0" applyFont="1" applyBorder="1" applyAlignment="1">
      <alignment horizontal="center" vertical="center"/>
    </xf>
    <xf numFmtId="0" fontId="4" fillId="0" borderId="13" xfId="0" applyFont="1" applyBorder="1" applyAlignment="1">
      <alignment/>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justify" vertical="top" wrapText="1"/>
    </xf>
    <xf numFmtId="0" fontId="2" fillId="0" borderId="0" xfId="0" applyFont="1" applyBorder="1" applyAlignment="1">
      <alignment horizontal="left" vertical="top" wrapText="1"/>
    </xf>
    <xf numFmtId="4" fontId="2" fillId="0" borderId="0" xfId="0" applyNumberFormat="1" applyFont="1" applyFill="1" applyBorder="1" applyAlignment="1">
      <alignment/>
    </xf>
    <xf numFmtId="2" fontId="2" fillId="0" borderId="0" xfId="0" applyNumberFormat="1" applyFont="1" applyAlignment="1">
      <alignment/>
    </xf>
    <xf numFmtId="0" fontId="4" fillId="0" borderId="0" xfId="0" applyFont="1" applyAlignment="1">
      <alignment horizontal="left" vertical="top" wrapText="1"/>
    </xf>
    <xf numFmtId="4" fontId="4" fillId="0" borderId="0" xfId="0" applyNumberFormat="1" applyFont="1" applyAlignment="1">
      <alignment horizontal="left" vertical="top" wrapText="1"/>
    </xf>
    <xf numFmtId="0" fontId="2" fillId="0" borderId="0" xfId="0" applyFont="1" applyFill="1" applyBorder="1" applyAlignment="1">
      <alignment horizontal="left" vertical="top" wrapText="1"/>
    </xf>
    <xf numFmtId="0" fontId="4" fillId="0" borderId="13" xfId="0" applyFont="1" applyBorder="1" applyAlignment="1">
      <alignment horizontal="center" vertical="top" wrapText="1"/>
    </xf>
    <xf numFmtId="173" fontId="4" fillId="0" borderId="13" xfId="0" applyNumberFormat="1" applyFont="1" applyBorder="1" applyAlignment="1">
      <alignment horizontal="center"/>
    </xf>
    <xf numFmtId="0" fontId="2" fillId="0" borderId="0" xfId="0" applyFont="1" applyFill="1" applyAlignment="1">
      <alignment horizontal="left" vertical="top" wrapText="1"/>
    </xf>
    <xf numFmtId="0" fontId="4" fillId="0" borderId="0" xfId="0" applyFont="1" applyAlignment="1">
      <alignment horizontal="center" wrapText="1"/>
    </xf>
    <xf numFmtId="0" fontId="2" fillId="0" borderId="0" xfId="0" applyFont="1" applyFill="1" applyBorder="1" applyAlignment="1">
      <alignment horizontal="justify" vertical="top"/>
    </xf>
    <xf numFmtId="173" fontId="2" fillId="0" borderId="12" xfId="0" applyNumberFormat="1" applyFont="1" applyBorder="1" applyAlignment="1">
      <alignment horizontal="center" vertical="center" wrapText="1"/>
    </xf>
    <xf numFmtId="173" fontId="2" fillId="0" borderId="12" xfId="0" applyNumberFormat="1" applyFont="1" applyBorder="1" applyAlignment="1">
      <alignment horizontal="center" vertical="center"/>
    </xf>
    <xf numFmtId="173" fontId="2" fillId="0" borderId="0" xfId="0" applyNumberFormat="1" applyFont="1" applyBorder="1" applyAlignment="1">
      <alignment horizontal="center" vertical="center"/>
    </xf>
    <xf numFmtId="173" fontId="4" fillId="0" borderId="0" xfId="0" applyNumberFormat="1" applyFont="1" applyAlignment="1">
      <alignment horizontal="center" vertical="top"/>
    </xf>
    <xf numFmtId="173" fontId="2" fillId="0" borderId="0" xfId="0" applyNumberFormat="1" applyFont="1" applyBorder="1" applyAlignment="1">
      <alignment horizontal="center" vertical="top"/>
    </xf>
    <xf numFmtId="173" fontId="2" fillId="0" borderId="0" xfId="0" applyNumberFormat="1" applyFont="1" applyBorder="1" applyAlignment="1">
      <alignment horizontal="right" vertical="top"/>
    </xf>
    <xf numFmtId="173" fontId="2" fillId="0" borderId="0" xfId="0" applyNumberFormat="1" applyFont="1" applyAlignment="1">
      <alignment/>
    </xf>
    <xf numFmtId="0" fontId="2" fillId="0" borderId="0" xfId="0" applyFont="1" applyAlignment="1">
      <alignment horizontal="justify" vertical="top" wrapText="1"/>
    </xf>
    <xf numFmtId="173" fontId="4" fillId="0" borderId="0" xfId="0" applyNumberFormat="1" applyFont="1" applyAlignment="1">
      <alignment vertical="top" wrapText="1"/>
    </xf>
    <xf numFmtId="0" fontId="10" fillId="0" borderId="0" xfId="0" applyFont="1" applyBorder="1" applyAlignment="1">
      <alignment/>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xf>
    <xf numFmtId="0" fontId="10" fillId="0" borderId="0" xfId="0" applyFont="1" applyAlignment="1">
      <alignment/>
    </xf>
    <xf numFmtId="0" fontId="10" fillId="0" borderId="0" xfId="0" applyFont="1" applyBorder="1" applyAlignment="1">
      <alignment horizontal="center"/>
    </xf>
    <xf numFmtId="0" fontId="12" fillId="0" borderId="13" xfId="0" applyFont="1" applyBorder="1" applyAlignment="1">
      <alignment/>
    </xf>
    <xf numFmtId="0" fontId="4" fillId="0" borderId="0" xfId="0" applyFont="1" applyFill="1" applyBorder="1" applyAlignment="1">
      <alignment horizontal="left" vertical="top" wrapText="1"/>
    </xf>
    <xf numFmtId="0" fontId="10" fillId="0" borderId="11" xfId="0" applyFont="1" applyBorder="1" applyAlignment="1">
      <alignment horizontal="center"/>
    </xf>
    <xf numFmtId="2" fontId="2" fillId="0" borderId="0" xfId="0" applyNumberFormat="1" applyFont="1" applyBorder="1" applyAlignment="1">
      <alignment horizontal="right"/>
    </xf>
    <xf numFmtId="0" fontId="2" fillId="0" borderId="0" xfId="0" applyFont="1" applyAlignment="1">
      <alignment horizontal="left" vertical="top" wrapText="1"/>
    </xf>
    <xf numFmtId="2" fontId="2" fillId="0" borderId="11" xfId="0" applyNumberFormat="1" applyFont="1" applyBorder="1" applyAlignment="1">
      <alignment/>
    </xf>
    <xf numFmtId="2" fontId="2" fillId="0" borderId="0" xfId="0" applyNumberFormat="1" applyFont="1" applyBorder="1" applyAlignment="1">
      <alignment/>
    </xf>
    <xf numFmtId="173" fontId="4" fillId="0" borderId="0" xfId="0" applyNumberFormat="1" applyFont="1" applyBorder="1" applyAlignment="1">
      <alignment horizontal="center" vertical="top"/>
    </xf>
    <xf numFmtId="0" fontId="4" fillId="0" borderId="0" xfId="0" applyFont="1" applyBorder="1" applyAlignment="1">
      <alignment horizontal="center" vertical="top" wrapText="1"/>
    </xf>
    <xf numFmtId="0" fontId="2" fillId="0" borderId="0" xfId="0" applyFont="1" applyBorder="1" applyAlignment="1">
      <alignment horizontal="justify" vertical="top" wrapText="1"/>
    </xf>
    <xf numFmtId="0" fontId="2" fillId="0" borderId="11" xfId="0" applyFont="1" applyBorder="1" applyAlignment="1">
      <alignment horizontal="center"/>
    </xf>
    <xf numFmtId="4" fontId="2" fillId="0" borderId="11" xfId="0" applyNumberFormat="1" applyFont="1" applyBorder="1" applyAlignment="1">
      <alignment horizontal="right"/>
    </xf>
    <xf numFmtId="2" fontId="3" fillId="0" borderId="0" xfId="0" applyNumberFormat="1" applyFont="1" applyBorder="1" applyAlignment="1">
      <alignment horizontal="right"/>
    </xf>
    <xf numFmtId="0" fontId="2" fillId="0" borderId="0" xfId="0" applyNumberFormat="1" applyFont="1" applyBorder="1" applyAlignment="1">
      <alignment horizontal="justify" vertical="top" wrapText="1"/>
    </xf>
    <xf numFmtId="0" fontId="2" fillId="0" borderId="0" xfId="0" applyFont="1" applyBorder="1" applyAlignment="1">
      <alignment horizontal="right"/>
    </xf>
    <xf numFmtId="0" fontId="2" fillId="0" borderId="0" xfId="0" applyFont="1" applyBorder="1" applyAlignment="1" quotePrefix="1">
      <alignment horizontal="left" wrapText="1"/>
    </xf>
    <xf numFmtId="0" fontId="4" fillId="0" borderId="13" xfId="0" applyFont="1" applyBorder="1" applyAlignment="1">
      <alignment horizontal="left" vertical="top" wrapText="1"/>
    </xf>
    <xf numFmtId="0" fontId="2" fillId="0" borderId="0" xfId="0" applyFont="1" applyFill="1" applyBorder="1" applyAlignment="1">
      <alignment horizontal="justify" vertical="justify"/>
    </xf>
    <xf numFmtId="173" fontId="4" fillId="0" borderId="13" xfId="0" applyNumberFormat="1" applyFont="1" applyBorder="1" applyAlignment="1">
      <alignment horizontal="center" vertical="top"/>
    </xf>
    <xf numFmtId="2" fontId="2" fillId="0" borderId="11" xfId="0" applyNumberFormat="1" applyFont="1" applyBorder="1" applyAlignment="1">
      <alignment horizontal="right"/>
    </xf>
    <xf numFmtId="0" fontId="2" fillId="0" borderId="10" xfId="0" applyFont="1" applyBorder="1" applyAlignment="1">
      <alignment horizontal="center"/>
    </xf>
    <xf numFmtId="4" fontId="2" fillId="0" borderId="10" xfId="0" applyNumberFormat="1" applyFont="1" applyFill="1" applyBorder="1" applyAlignment="1">
      <alignment/>
    </xf>
    <xf numFmtId="4" fontId="2" fillId="0" borderId="10" xfId="0" applyNumberFormat="1" applyFont="1" applyBorder="1" applyAlignment="1">
      <alignment/>
    </xf>
    <xf numFmtId="0" fontId="2" fillId="0" borderId="0" xfId="0" applyFont="1" applyFill="1" applyAlignment="1" quotePrefix="1">
      <alignment horizontal="left" vertical="top" wrapText="1"/>
    </xf>
    <xf numFmtId="4" fontId="2" fillId="0" borderId="11" xfId="0" applyNumberFormat="1" applyFont="1" applyFill="1" applyBorder="1" applyAlignment="1">
      <alignment/>
    </xf>
    <xf numFmtId="4" fontId="2" fillId="0" borderId="11" xfId="0" applyNumberFormat="1" applyFont="1" applyBorder="1" applyAlignment="1">
      <alignment/>
    </xf>
    <xf numFmtId="0" fontId="2" fillId="0" borderId="0" xfId="0" applyFont="1" applyFill="1" applyBorder="1" applyAlignment="1">
      <alignment horizontal="left" vertical="top" wrapText="1"/>
    </xf>
    <xf numFmtId="0" fontId="2" fillId="0" borderId="0" xfId="0" applyFont="1" applyAlignment="1">
      <alignment wrapText="1"/>
    </xf>
    <xf numFmtId="2" fontId="2" fillId="0" borderId="10" xfId="0" applyNumberFormat="1" applyFont="1" applyBorder="1" applyAlignment="1">
      <alignment horizontal="right"/>
    </xf>
    <xf numFmtId="0" fontId="2" fillId="0" borderId="11" xfId="0" applyFont="1" applyBorder="1" applyAlignment="1">
      <alignment horizontal="right"/>
    </xf>
    <xf numFmtId="173" fontId="4" fillId="0" borderId="0" xfId="0" applyNumberFormat="1" applyFont="1" applyBorder="1" applyAlignment="1">
      <alignment horizontal="center" vertical="top"/>
    </xf>
    <xf numFmtId="2" fontId="2" fillId="0" borderId="0" xfId="58" applyNumberFormat="1" applyFont="1">
      <alignment/>
      <protection/>
    </xf>
    <xf numFmtId="0" fontId="2" fillId="0" borderId="0" xfId="58" applyFont="1">
      <alignment/>
      <protection/>
    </xf>
    <xf numFmtId="0" fontId="2" fillId="0" borderId="0" xfId="58" applyFont="1" applyBorder="1">
      <alignment/>
      <protection/>
    </xf>
    <xf numFmtId="0" fontId="10" fillId="0" borderId="0" xfId="58" applyFont="1" applyBorder="1">
      <alignment/>
      <protection/>
    </xf>
    <xf numFmtId="0" fontId="2" fillId="0" borderId="11" xfId="58" applyFont="1" applyBorder="1">
      <alignment/>
      <protection/>
    </xf>
    <xf numFmtId="173" fontId="2" fillId="0" borderId="12" xfId="58" applyNumberFormat="1" applyFont="1" applyBorder="1" applyAlignment="1">
      <alignment horizontal="center" vertical="center" wrapText="1"/>
      <protection/>
    </xf>
    <xf numFmtId="0" fontId="2" fillId="0" borderId="12" xfId="58" applyFont="1" applyBorder="1" applyAlignment="1">
      <alignment horizontal="center" vertical="center"/>
      <protection/>
    </xf>
    <xf numFmtId="0" fontId="10" fillId="0" borderId="12" xfId="58" applyFont="1" applyBorder="1" applyAlignment="1">
      <alignment horizontal="center" vertical="center" wrapText="1"/>
      <protection/>
    </xf>
    <xf numFmtId="0" fontId="2" fillId="0" borderId="12" xfId="58" applyFont="1" applyBorder="1" applyAlignment="1">
      <alignment horizontal="center" vertical="center" wrapText="1"/>
      <protection/>
    </xf>
    <xf numFmtId="0" fontId="2" fillId="0" borderId="14" xfId="58" applyFont="1" applyBorder="1" applyAlignment="1">
      <alignment horizontal="center" vertical="center" wrapText="1"/>
      <protection/>
    </xf>
    <xf numFmtId="173" fontId="2" fillId="0" borderId="12" xfId="58" applyNumberFormat="1" applyFont="1" applyBorder="1" applyAlignment="1">
      <alignment horizontal="center" vertical="center"/>
      <protection/>
    </xf>
    <xf numFmtId="0" fontId="10" fillId="0" borderId="12" xfId="58" applyFont="1" applyBorder="1" applyAlignment="1">
      <alignment horizontal="center" vertical="center"/>
      <protection/>
    </xf>
    <xf numFmtId="173" fontId="2" fillId="0" borderId="0" xfId="58" applyNumberFormat="1" applyFont="1" applyBorder="1" applyAlignment="1">
      <alignment horizontal="center" vertical="center"/>
      <protection/>
    </xf>
    <xf numFmtId="0" fontId="2" fillId="0" borderId="0" xfId="58" applyFont="1" applyBorder="1" applyAlignment="1">
      <alignment horizontal="center" vertical="center"/>
      <protection/>
    </xf>
    <xf numFmtId="0" fontId="10" fillId="0" borderId="0" xfId="58" applyFont="1" applyBorder="1" applyAlignment="1">
      <alignment horizontal="center" vertical="center"/>
      <protection/>
    </xf>
    <xf numFmtId="0" fontId="10" fillId="0" borderId="13" xfId="58" applyFont="1" applyBorder="1">
      <alignment/>
      <protection/>
    </xf>
    <xf numFmtId="0" fontId="2" fillId="0" borderId="13" xfId="58" applyFont="1" applyBorder="1">
      <alignment/>
      <protection/>
    </xf>
    <xf numFmtId="173" fontId="4" fillId="0" borderId="0" xfId="58" applyNumberFormat="1" applyFont="1" applyBorder="1" applyAlignment="1">
      <alignment horizontal="center" vertical="top"/>
      <protection/>
    </xf>
    <xf numFmtId="0" fontId="4" fillId="0" borderId="0" xfId="58" applyFont="1" applyBorder="1" applyAlignment="1">
      <alignment horizontal="center" vertical="top" wrapText="1"/>
      <protection/>
    </xf>
    <xf numFmtId="173" fontId="2" fillId="0" borderId="0" xfId="58" applyNumberFormat="1" applyFont="1" applyAlignment="1">
      <alignment vertical="top" wrapText="1"/>
      <protection/>
    </xf>
    <xf numFmtId="0" fontId="71" fillId="0" borderId="0" xfId="58" applyFont="1">
      <alignment/>
      <protection/>
    </xf>
    <xf numFmtId="173" fontId="2" fillId="0" borderId="0" xfId="58" applyNumberFormat="1" applyFont="1" applyBorder="1" applyAlignment="1">
      <alignment horizontal="center" vertical="top"/>
      <protection/>
    </xf>
    <xf numFmtId="0" fontId="10" fillId="0" borderId="0" xfId="58" applyFont="1" applyBorder="1" applyAlignment="1">
      <alignment horizontal="center"/>
      <protection/>
    </xf>
    <xf numFmtId="0" fontId="2" fillId="0" borderId="0" xfId="58" applyFont="1" applyBorder="1" applyAlignment="1">
      <alignment horizontal="center"/>
      <protection/>
    </xf>
    <xf numFmtId="4" fontId="2" fillId="0" borderId="0" xfId="58" applyNumberFormat="1" applyFont="1" applyBorder="1" applyAlignment="1">
      <alignment horizontal="right"/>
      <protection/>
    </xf>
    <xf numFmtId="173" fontId="71" fillId="0" borderId="0" xfId="58" applyNumberFormat="1" applyFont="1" applyBorder="1" applyAlignment="1">
      <alignment horizontal="center" vertical="top"/>
      <protection/>
    </xf>
    <xf numFmtId="173" fontId="71" fillId="0" borderId="0" xfId="58" applyNumberFormat="1" applyFont="1" applyBorder="1" applyAlignment="1">
      <alignment horizontal="right" vertical="top"/>
      <protection/>
    </xf>
    <xf numFmtId="49" fontId="2" fillId="0" borderId="0" xfId="58" applyNumberFormat="1" applyFont="1" applyBorder="1" applyAlignment="1">
      <alignment horizontal="left" vertical="top" wrapText="1"/>
      <protection/>
    </xf>
    <xf numFmtId="173" fontId="2" fillId="0" borderId="0" xfId="58" applyNumberFormat="1" applyFont="1" applyBorder="1" applyAlignment="1">
      <alignment horizontal="right" vertical="top"/>
      <protection/>
    </xf>
    <xf numFmtId="4" fontId="2" fillId="0" borderId="0" xfId="58" applyNumberFormat="1" applyFont="1" applyFill="1" applyBorder="1">
      <alignment/>
      <protection/>
    </xf>
    <xf numFmtId="4" fontId="2" fillId="0" borderId="0" xfId="58" applyNumberFormat="1" applyFont="1" applyBorder="1">
      <alignment/>
      <protection/>
    </xf>
    <xf numFmtId="0" fontId="2" fillId="0" borderId="0" xfId="58" applyFont="1" applyBorder="1" applyAlignment="1">
      <alignment horizontal="left" vertical="top" wrapText="1"/>
      <protection/>
    </xf>
    <xf numFmtId="0" fontId="2" fillId="0" borderId="0" xfId="58" applyFont="1" applyFill="1" applyAlignment="1">
      <alignment horizontal="left" vertical="top" wrapText="1"/>
      <protection/>
    </xf>
    <xf numFmtId="0" fontId="2" fillId="0" borderId="0" xfId="58" applyFont="1" applyAlignment="1">
      <alignment horizontal="center"/>
      <protection/>
    </xf>
    <xf numFmtId="173" fontId="4" fillId="0" borderId="13" xfId="58" applyNumberFormat="1" applyFont="1" applyBorder="1" applyAlignment="1">
      <alignment horizontal="center"/>
      <protection/>
    </xf>
    <xf numFmtId="0" fontId="4" fillId="0" borderId="13" xfId="58" applyFont="1" applyBorder="1">
      <alignment/>
      <protection/>
    </xf>
    <xf numFmtId="0" fontId="12" fillId="0" borderId="13" xfId="58" applyFont="1" applyBorder="1">
      <alignment/>
      <protection/>
    </xf>
    <xf numFmtId="0" fontId="4" fillId="0" borderId="13" xfId="58" applyFont="1" applyBorder="1" applyAlignment="1">
      <alignment horizontal="right"/>
      <protection/>
    </xf>
    <xf numFmtId="4" fontId="4" fillId="0" borderId="13" xfId="58" applyNumberFormat="1" applyFont="1" applyBorder="1">
      <alignment/>
      <protection/>
    </xf>
    <xf numFmtId="173" fontId="4" fillId="0" borderId="0" xfId="58" applyNumberFormat="1" applyFont="1" applyAlignment="1">
      <alignment horizontal="center" vertical="top"/>
      <protection/>
    </xf>
    <xf numFmtId="0" fontId="4" fillId="0" borderId="0" xfId="58" applyFont="1" applyAlignment="1">
      <alignment horizontal="left" vertical="top" wrapText="1"/>
      <protection/>
    </xf>
    <xf numFmtId="0" fontId="10" fillId="0" borderId="0" xfId="58" applyFont="1">
      <alignment/>
      <protection/>
    </xf>
    <xf numFmtId="0" fontId="4" fillId="0" borderId="0" xfId="58" applyFont="1" applyAlignment="1">
      <alignment horizontal="justify" vertical="top" wrapText="1"/>
      <protection/>
    </xf>
    <xf numFmtId="173" fontId="2" fillId="0" borderId="0" xfId="58" applyNumberFormat="1" applyFont="1">
      <alignment/>
      <protection/>
    </xf>
    <xf numFmtId="2" fontId="71" fillId="0" borderId="0" xfId="0" applyNumberFormat="1" applyFont="1" applyBorder="1" applyAlignment="1">
      <alignment horizontal="right"/>
    </xf>
    <xf numFmtId="4" fontId="71" fillId="0" borderId="0" xfId="0" applyNumberFormat="1" applyFont="1" applyFill="1" applyBorder="1" applyAlignment="1">
      <alignment/>
    </xf>
    <xf numFmtId="4" fontId="71" fillId="0" borderId="0" xfId="0" applyNumberFormat="1" applyFont="1" applyBorder="1" applyAlignment="1">
      <alignment/>
    </xf>
    <xf numFmtId="2" fontId="2" fillId="0" borderId="0" xfId="0" applyNumberFormat="1" applyFont="1" applyBorder="1" applyAlignment="1" quotePrefix="1">
      <alignment horizontal="left"/>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173" fontId="2" fillId="0" borderId="11" xfId="0" applyNumberFormat="1" applyFont="1" applyBorder="1" applyAlignment="1">
      <alignment horizontal="center"/>
    </xf>
    <xf numFmtId="0" fontId="12" fillId="0" borderId="11" xfId="0" applyFont="1" applyBorder="1" applyAlignment="1">
      <alignment/>
    </xf>
    <xf numFmtId="0" fontId="4" fillId="0" borderId="11" xfId="0" applyFont="1" applyBorder="1" applyAlignment="1">
      <alignment horizontal="right"/>
    </xf>
    <xf numFmtId="4" fontId="4" fillId="0" borderId="11" xfId="0" applyNumberFormat="1" applyFont="1" applyBorder="1" applyAlignment="1">
      <alignment/>
    </xf>
    <xf numFmtId="0" fontId="4" fillId="0" borderId="0" xfId="0" applyFont="1" applyBorder="1" applyAlignment="1">
      <alignment horizontal="justify" vertical="top" wrapText="1"/>
    </xf>
    <xf numFmtId="173" fontId="4" fillId="0" borderId="13" xfId="58" applyNumberFormat="1" applyFont="1" applyBorder="1" applyAlignment="1">
      <alignment horizontal="center" vertical="top"/>
      <protection/>
    </xf>
    <xf numFmtId="0" fontId="2" fillId="0" borderId="0" xfId="0" applyFont="1" applyBorder="1" applyAlignment="1">
      <alignment horizontal="left"/>
    </xf>
    <xf numFmtId="0" fontId="2" fillId="0" borderId="0" xfId="0" applyNumberFormat="1" applyFont="1" applyBorder="1" applyAlignment="1">
      <alignment horizontal="justify" vertical="top" wrapText="1"/>
    </xf>
    <xf numFmtId="0" fontId="3" fillId="0" borderId="0" xfId="0" applyFont="1" applyBorder="1" applyAlignment="1">
      <alignment horizontal="justify" vertical="top" wrapText="1"/>
    </xf>
    <xf numFmtId="0" fontId="4" fillId="0" borderId="0" xfId="0" applyFont="1" applyBorder="1" applyAlignment="1">
      <alignment horizontal="left" vertical="top" wrapText="1"/>
    </xf>
    <xf numFmtId="2" fontId="2" fillId="0" borderId="0" xfId="0" applyNumberFormat="1" applyFont="1" applyBorder="1" applyAlignment="1" quotePrefix="1">
      <alignment horizontal="justify"/>
    </xf>
    <xf numFmtId="0" fontId="2" fillId="0" borderId="0" xfId="0" applyFont="1" applyBorder="1" applyAlignment="1">
      <alignment horizontal="justify" vertical="top"/>
    </xf>
    <xf numFmtId="0" fontId="2" fillId="0" borderId="0" xfId="0"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quotePrefix="1">
      <alignment vertical="top" wrapText="1"/>
    </xf>
    <xf numFmtId="49" fontId="2" fillId="0" borderId="0" xfId="0" applyNumberFormat="1" applyFont="1" applyBorder="1" applyAlignment="1">
      <alignment horizontal="justify" vertical="top" wrapText="1"/>
    </xf>
    <xf numFmtId="0" fontId="2" fillId="0" borderId="0" xfId="0" applyFont="1" applyFill="1" applyAlignment="1" quotePrefix="1">
      <alignment horizontal="justify" vertical="top" wrapText="1"/>
    </xf>
    <xf numFmtId="0" fontId="2" fillId="0" borderId="0" xfId="58" applyFont="1" applyAlignment="1">
      <alignment horizontal="justify" vertical="top" wrapText="1"/>
      <protection/>
    </xf>
    <xf numFmtId="0" fontId="2" fillId="0" borderId="0" xfId="58" applyFont="1" applyAlignment="1">
      <alignment vertical="top" wrapText="1"/>
      <protection/>
    </xf>
    <xf numFmtId="0" fontId="4" fillId="0" borderId="0" xfId="58" applyFont="1" applyFill="1" applyBorder="1" applyAlignment="1">
      <alignment horizontal="left" vertical="top" wrapText="1"/>
      <protection/>
    </xf>
    <xf numFmtId="2" fontId="2" fillId="0" borderId="0" xfId="58" applyNumberFormat="1" applyFont="1" applyBorder="1">
      <alignment/>
      <protection/>
    </xf>
    <xf numFmtId="0" fontId="2" fillId="0" borderId="11" xfId="58" applyFont="1" applyBorder="1" applyAlignment="1">
      <alignment horizontal="center"/>
      <protection/>
    </xf>
    <xf numFmtId="2" fontId="2" fillId="0" borderId="11" xfId="58" applyNumberFormat="1" applyFont="1" applyBorder="1">
      <alignment/>
      <protection/>
    </xf>
    <xf numFmtId="2" fontId="2" fillId="0" borderId="0" xfId="58" applyNumberFormat="1" applyFont="1" applyBorder="1" applyAlignment="1">
      <alignment horizontal="right"/>
      <protection/>
    </xf>
    <xf numFmtId="0" fontId="2" fillId="0" borderId="0" xfId="58" applyFont="1" applyFill="1" applyBorder="1" applyAlignment="1">
      <alignment horizontal="left" vertical="top" wrapText="1"/>
      <protection/>
    </xf>
    <xf numFmtId="0" fontId="2" fillId="0" borderId="0" xfId="58" applyNumberFormat="1" applyFont="1" applyFill="1" applyBorder="1" applyAlignment="1">
      <alignment horizontal="justify" vertical="top" wrapText="1"/>
      <protection/>
    </xf>
    <xf numFmtId="4" fontId="2" fillId="0" borderId="0" xfId="58" applyNumberFormat="1" applyFont="1" applyFill="1" applyBorder="1" applyAlignment="1">
      <alignment horizontal="justify" vertical="top" wrapText="1"/>
      <protection/>
    </xf>
    <xf numFmtId="0" fontId="2" fillId="0" borderId="0" xfId="58" applyFont="1" applyFill="1" applyBorder="1" applyAlignment="1">
      <alignment horizontal="justify" vertical="top" wrapText="1"/>
      <protection/>
    </xf>
    <xf numFmtId="2" fontId="2" fillId="0" borderId="0" xfId="58" applyNumberFormat="1" applyFont="1" applyAlignment="1">
      <alignment horizontal="right"/>
      <protection/>
    </xf>
    <xf numFmtId="0" fontId="4" fillId="0" borderId="13" xfId="58" applyFont="1" applyBorder="1" applyAlignment="1">
      <alignment horizontal="left" vertical="top" wrapText="1"/>
      <protection/>
    </xf>
    <xf numFmtId="0" fontId="2" fillId="0" borderId="0" xfId="0" applyFont="1" applyAlignment="1">
      <alignment horizontal="justify"/>
    </xf>
    <xf numFmtId="0" fontId="2" fillId="0" borderId="0" xfId="58" applyFont="1" applyAlignment="1">
      <alignment horizontal="justify" vertical="top" wrapText="1"/>
      <protection/>
    </xf>
    <xf numFmtId="0" fontId="2" fillId="0" borderId="0" xfId="58" applyFont="1" applyBorder="1" applyAlignment="1">
      <alignment horizontal="justify" vertical="top" wrapText="1"/>
      <protection/>
    </xf>
    <xf numFmtId="0" fontId="2" fillId="0" borderId="0" xfId="58" applyFont="1" applyAlignment="1">
      <alignment horizontal="left" vertical="top" wrapText="1"/>
      <protection/>
    </xf>
    <xf numFmtId="2" fontId="2" fillId="0" borderId="11" xfId="58" applyNumberFormat="1" applyFont="1" applyBorder="1" applyAlignment="1">
      <alignment horizontal="right"/>
      <protection/>
    </xf>
    <xf numFmtId="4" fontId="2" fillId="0" borderId="11" xfId="58" applyNumberFormat="1" applyFont="1" applyBorder="1" applyAlignment="1">
      <alignment horizontal="right"/>
      <protection/>
    </xf>
    <xf numFmtId="0" fontId="4" fillId="0" borderId="0" xfId="58" applyFont="1" applyFill="1" applyAlignment="1">
      <alignment horizontal="left" vertical="top" wrapText="1"/>
      <protection/>
    </xf>
    <xf numFmtId="0" fontId="2" fillId="0" borderId="0" xfId="0" applyFont="1" applyAlignment="1">
      <alignment vertical="top" wrapText="1"/>
    </xf>
    <xf numFmtId="173" fontId="4" fillId="0" borderId="0" xfId="0" applyNumberFormat="1" applyFont="1" applyBorder="1" applyAlignment="1">
      <alignment horizontal="center" vertical="center"/>
    </xf>
    <xf numFmtId="173" fontId="4" fillId="0" borderId="0" xfId="0" applyNumberFormat="1" applyFont="1" applyBorder="1" applyAlignment="1">
      <alignment horizontal="right" vertical="top"/>
    </xf>
    <xf numFmtId="0" fontId="4" fillId="0" borderId="0" xfId="0" applyFont="1" applyBorder="1" applyAlignment="1" quotePrefix="1">
      <alignment horizontal="left" wrapText="1"/>
    </xf>
    <xf numFmtId="0" fontId="4" fillId="0" borderId="0" xfId="0" applyFont="1" applyFill="1" applyAlignment="1">
      <alignment horizontal="left" vertical="top" wrapText="1"/>
    </xf>
    <xf numFmtId="0" fontId="2" fillId="0" borderId="0" xfId="0" applyFont="1" applyBorder="1" applyAlignment="1">
      <alignment horizontal="right" vertical="center"/>
    </xf>
    <xf numFmtId="0" fontId="2" fillId="0" borderId="13" xfId="0" applyFont="1" applyBorder="1" applyAlignment="1">
      <alignment horizontal="right"/>
    </xf>
    <xf numFmtId="0" fontId="2" fillId="0" borderId="0" xfId="0" applyFont="1" applyAlignment="1">
      <alignment horizontal="right"/>
    </xf>
    <xf numFmtId="2" fontId="2" fillId="0" borderId="0" xfId="0" applyNumberFormat="1" applyFont="1" applyAlignment="1">
      <alignment horizontal="right"/>
    </xf>
    <xf numFmtId="173" fontId="14" fillId="0" borderId="0" xfId="0" applyNumberFormat="1" applyFont="1" applyBorder="1" applyAlignment="1">
      <alignment horizontal="right" vertical="top"/>
    </xf>
    <xf numFmtId="0" fontId="14" fillId="0" borderId="0" xfId="0" applyFont="1" applyFill="1" applyAlignment="1">
      <alignment horizontal="left" vertical="top" wrapText="1"/>
    </xf>
    <xf numFmtId="0" fontId="14" fillId="0" borderId="0" xfId="0" applyFont="1" applyBorder="1" applyAlignment="1">
      <alignment horizontal="center"/>
    </xf>
    <xf numFmtId="0" fontId="14" fillId="0" borderId="0" xfId="0" applyFont="1" applyBorder="1" applyAlignment="1">
      <alignment horizontal="right"/>
    </xf>
    <xf numFmtId="4" fontId="14" fillId="0" borderId="0" xfId="0" applyNumberFormat="1" applyFont="1" applyFill="1" applyBorder="1" applyAlignment="1">
      <alignment/>
    </xf>
    <xf numFmtId="4" fontId="14" fillId="0" borderId="0" xfId="0" applyNumberFormat="1" applyFont="1" applyBorder="1" applyAlignment="1">
      <alignment/>
    </xf>
    <xf numFmtId="2" fontId="14" fillId="0" borderId="0" xfId="0" applyNumberFormat="1" applyFont="1" applyAlignment="1">
      <alignment/>
    </xf>
    <xf numFmtId="0" fontId="14" fillId="0" borderId="0" xfId="0" applyFont="1" applyAlignment="1">
      <alignment/>
    </xf>
    <xf numFmtId="0" fontId="4" fillId="0" borderId="0" xfId="0" applyFont="1" applyAlignment="1">
      <alignment wrapText="1"/>
    </xf>
    <xf numFmtId="0" fontId="2" fillId="0" borderId="0" xfId="0" applyFont="1" applyAlignment="1">
      <alignment horizontal="justify" wrapText="1"/>
    </xf>
    <xf numFmtId="173" fontId="14" fillId="0" borderId="0" xfId="0" applyNumberFormat="1" applyFont="1" applyBorder="1" applyAlignment="1">
      <alignment horizontal="center" vertical="top"/>
    </xf>
    <xf numFmtId="2" fontId="14" fillId="0" borderId="0" xfId="0" applyNumberFormat="1" applyFont="1" applyBorder="1" applyAlignment="1">
      <alignment horizontal="right"/>
    </xf>
    <xf numFmtId="2" fontId="14" fillId="0" borderId="0" xfId="0" applyNumberFormat="1" applyFont="1" applyBorder="1" applyAlignment="1">
      <alignment/>
    </xf>
    <xf numFmtId="173" fontId="4" fillId="0" borderId="0" xfId="0" applyNumberFormat="1" applyFont="1" applyBorder="1" applyAlignment="1">
      <alignment horizontal="left" vertical="top"/>
    </xf>
    <xf numFmtId="0" fontId="4" fillId="0" borderId="0" xfId="0" applyFont="1" applyBorder="1" applyAlignment="1">
      <alignment horizontal="left"/>
    </xf>
    <xf numFmtId="0" fontId="72" fillId="0" borderId="0" xfId="0" applyFont="1" applyAlignment="1">
      <alignment/>
    </xf>
    <xf numFmtId="0" fontId="4" fillId="0" borderId="0" xfId="0" applyFont="1" applyAlignment="1">
      <alignment/>
    </xf>
    <xf numFmtId="49" fontId="4" fillId="0" borderId="0" xfId="0" applyNumberFormat="1" applyFont="1" applyBorder="1" applyAlignment="1">
      <alignment horizontal="left" vertical="top" wrapText="1"/>
    </xf>
    <xf numFmtId="0" fontId="4" fillId="0" borderId="0" xfId="58" applyFont="1" applyFill="1" applyBorder="1" applyAlignment="1">
      <alignment horizontal="justify" vertical="top" wrapText="1"/>
      <protection/>
    </xf>
    <xf numFmtId="0" fontId="2" fillId="0" borderId="0" xfId="58" applyFont="1" applyAlignment="1">
      <alignment horizontal="justify"/>
      <protection/>
    </xf>
    <xf numFmtId="4" fontId="2" fillId="0" borderId="11" xfId="58" applyNumberFormat="1" applyFont="1" applyFill="1" applyBorder="1">
      <alignment/>
      <protection/>
    </xf>
    <xf numFmtId="4" fontId="2" fillId="0" borderId="11" xfId="58" applyNumberFormat="1" applyFont="1" applyBorder="1">
      <alignment/>
      <protection/>
    </xf>
    <xf numFmtId="49" fontId="4" fillId="0" borderId="0" xfId="58" applyNumberFormat="1" applyFont="1" applyBorder="1" applyAlignment="1">
      <alignment horizontal="left" vertical="top" wrapText="1"/>
      <protection/>
    </xf>
    <xf numFmtId="2" fontId="4" fillId="0" borderId="0" xfId="0" applyNumberFormat="1" applyFont="1" applyBorder="1" applyAlignment="1" quotePrefix="1">
      <alignment horizontal="justify"/>
    </xf>
    <xf numFmtId="0" fontId="2" fillId="0" borderId="0" xfId="0" applyFont="1" applyBorder="1" applyAlignment="1">
      <alignment horizontal="center" vertical="top" wrapText="1"/>
    </xf>
    <xf numFmtId="0" fontId="2" fillId="0" borderId="0" xfId="0" applyFont="1" applyBorder="1" applyAlignment="1">
      <alignment horizontal="justify" vertical="top"/>
    </xf>
    <xf numFmtId="0" fontId="2" fillId="0" borderId="0" xfId="0" applyFont="1" applyFill="1" applyBorder="1" applyAlignment="1">
      <alignment horizontal="justify" wrapText="1"/>
    </xf>
    <xf numFmtId="0" fontId="2" fillId="0" borderId="0" xfId="0" applyFont="1" applyBorder="1" applyAlignment="1">
      <alignment horizontal="justify" wrapText="1"/>
    </xf>
    <xf numFmtId="0" fontId="15" fillId="0" borderId="0" xfId="0" applyFont="1" applyFill="1" applyBorder="1" applyAlignment="1">
      <alignment horizontal="left" vertical="top" wrapText="1"/>
    </xf>
    <xf numFmtId="173" fontId="4" fillId="0" borderId="0" xfId="0" applyNumberFormat="1" applyFont="1" applyAlignment="1">
      <alignment horizontal="center" vertical="top" wrapText="1"/>
    </xf>
    <xf numFmtId="0" fontId="2" fillId="0" borderId="0" xfId="0" applyNumberFormat="1" applyFont="1" applyFill="1" applyBorder="1" applyAlignment="1" applyProtection="1">
      <alignment horizontal="justify" vertical="top" wrapText="1"/>
      <protection locked="0"/>
    </xf>
    <xf numFmtId="0" fontId="2" fillId="0" borderId="0" xfId="0" applyFont="1" applyBorder="1" applyAlignment="1">
      <alignment vertical="top" wrapText="1"/>
    </xf>
    <xf numFmtId="173" fontId="4" fillId="0" borderId="0" xfId="0" applyNumberFormat="1" applyFont="1" applyAlignment="1">
      <alignment horizontal="center" vertical="top" wrapText="1"/>
    </xf>
    <xf numFmtId="173" fontId="2" fillId="0" borderId="0" xfId="0" applyNumberFormat="1" applyFont="1" applyAlignment="1">
      <alignment horizontal="center"/>
    </xf>
    <xf numFmtId="2" fontId="4" fillId="0" borderId="0" xfId="0" applyNumberFormat="1" applyFont="1" applyAlignment="1">
      <alignment/>
    </xf>
    <xf numFmtId="0" fontId="10" fillId="0" borderId="0" xfId="0" applyFont="1" applyAlignment="1">
      <alignment horizontal="center" wrapText="1"/>
    </xf>
    <xf numFmtId="43" fontId="3" fillId="0" borderId="0" xfId="42" applyFont="1" applyAlignment="1">
      <alignment horizontal="center" wrapText="1"/>
    </xf>
    <xf numFmtId="177" fontId="3" fillId="0" borderId="0" xfId="42" applyNumberFormat="1" applyFont="1" applyAlignment="1">
      <alignment horizontal="right" wrapText="1"/>
    </xf>
    <xf numFmtId="0" fontId="3" fillId="0" borderId="0" xfId="0" applyFont="1" applyAlignment="1">
      <alignment vertical="top" wrapText="1"/>
    </xf>
    <xf numFmtId="173" fontId="4" fillId="0" borderId="0" xfId="58" applyNumberFormat="1" applyFont="1" applyBorder="1" applyAlignment="1">
      <alignment horizontal="right" vertical="top"/>
      <protection/>
    </xf>
    <xf numFmtId="0" fontId="3" fillId="0" borderId="0" xfId="0" applyNumberFormat="1" applyFont="1" applyBorder="1" applyAlignment="1">
      <alignment horizontal="justify" vertical="top" wrapText="1"/>
    </xf>
    <xf numFmtId="173" fontId="4" fillId="0" borderId="0" xfId="58" applyNumberFormat="1" applyFont="1" applyAlignment="1">
      <alignment vertical="top" wrapText="1"/>
      <protection/>
    </xf>
    <xf numFmtId="0" fontId="2" fillId="0" borderId="0" xfId="0" applyFont="1" applyFill="1" applyAlignment="1">
      <alignment horizontal="left" vertical="top" wrapText="1"/>
    </xf>
    <xf numFmtId="0" fontId="15" fillId="0" borderId="0" xfId="0" applyFont="1" applyFill="1" applyBorder="1" applyAlignment="1">
      <alignment horizontal="left" wrapText="1"/>
    </xf>
    <xf numFmtId="0" fontId="2" fillId="0" borderId="0" xfId="0" applyFont="1" applyFill="1" applyAlignment="1">
      <alignment horizontal="justify" vertical="top" wrapText="1"/>
    </xf>
    <xf numFmtId="0" fontId="71" fillId="0" borderId="0" xfId="0" applyFont="1" applyAlignment="1">
      <alignment/>
    </xf>
    <xf numFmtId="173" fontId="71" fillId="0" borderId="0" xfId="0" applyNumberFormat="1" applyFont="1" applyBorder="1" applyAlignment="1">
      <alignment horizontal="center" vertical="top"/>
    </xf>
    <xf numFmtId="0" fontId="4" fillId="0" borderId="0" xfId="58" applyFont="1">
      <alignment/>
      <protection/>
    </xf>
    <xf numFmtId="4" fontId="73" fillId="0" borderId="0" xfId="58" applyNumberFormat="1" applyFont="1" applyFill="1" applyBorder="1">
      <alignment/>
      <protection/>
    </xf>
    <xf numFmtId="2" fontId="74" fillId="0" borderId="0" xfId="0" applyNumberFormat="1" applyFont="1" applyBorder="1" applyAlignment="1">
      <alignment horizontal="right"/>
    </xf>
    <xf numFmtId="49" fontId="14" fillId="0" borderId="0" xfId="0" applyNumberFormat="1" applyFont="1" applyBorder="1" applyAlignment="1">
      <alignment horizontal="left" vertical="top" wrapText="1"/>
    </xf>
    <xf numFmtId="2" fontId="4" fillId="0" borderId="0" xfId="0" applyNumberFormat="1" applyFont="1" applyAlignment="1">
      <alignment horizontal="center"/>
    </xf>
    <xf numFmtId="0" fontId="13" fillId="0" borderId="0" xfId="0" applyFont="1" applyAlignment="1">
      <alignment/>
    </xf>
    <xf numFmtId="0" fontId="17" fillId="0" borderId="0" xfId="0" applyFont="1" applyBorder="1" applyAlignment="1">
      <alignment horizontal="left" vertical="top" wrapText="1"/>
    </xf>
    <xf numFmtId="49" fontId="17" fillId="0" borderId="0" xfId="0" applyNumberFormat="1" applyFont="1" applyBorder="1" applyAlignment="1">
      <alignment horizontal="left" vertical="top" wrapText="1"/>
    </xf>
    <xf numFmtId="49" fontId="18" fillId="0" borderId="0" xfId="0" applyNumberFormat="1" applyFont="1" applyBorder="1" applyAlignment="1">
      <alignment horizontal="left" vertical="top" wrapText="1"/>
    </xf>
    <xf numFmtId="2" fontId="72" fillId="0" borderId="0" xfId="0" applyNumberFormat="1" applyFont="1" applyBorder="1" applyAlignment="1">
      <alignment horizontal="right"/>
    </xf>
    <xf numFmtId="173" fontId="75" fillId="0" borderId="0" xfId="58" applyNumberFormat="1" applyFont="1" applyBorder="1" applyAlignment="1">
      <alignment horizontal="center" vertical="top"/>
      <protection/>
    </xf>
    <xf numFmtId="0" fontId="76" fillId="0" borderId="0" xfId="58" applyFont="1">
      <alignment/>
      <protection/>
    </xf>
    <xf numFmtId="0" fontId="72" fillId="0" borderId="0" xfId="58" applyFont="1">
      <alignment/>
      <protection/>
    </xf>
    <xf numFmtId="173" fontId="72" fillId="0" borderId="0" xfId="58" applyNumberFormat="1" applyFont="1" applyBorder="1" applyAlignment="1">
      <alignment horizontal="center" vertical="top"/>
      <protection/>
    </xf>
    <xf numFmtId="0" fontId="72" fillId="0" borderId="0" xfId="58" applyFont="1" applyBorder="1" applyAlignment="1">
      <alignment horizontal="center"/>
      <protection/>
    </xf>
    <xf numFmtId="2" fontId="72" fillId="0" borderId="0" xfId="58" applyNumberFormat="1" applyFont="1" applyBorder="1" applyAlignment="1">
      <alignment horizontal="right"/>
      <protection/>
    </xf>
    <xf numFmtId="4" fontId="72" fillId="0" borderId="0" xfId="58" applyNumberFormat="1" applyFont="1" applyFill="1" applyBorder="1">
      <alignment/>
      <protection/>
    </xf>
    <xf numFmtId="4" fontId="72" fillId="0" borderId="0" xfId="58" applyNumberFormat="1" applyFont="1" applyBorder="1">
      <alignment/>
      <protection/>
    </xf>
    <xf numFmtId="0" fontId="17" fillId="0" borderId="0" xfId="58" applyFont="1" applyBorder="1" applyAlignment="1">
      <alignment horizontal="justify" vertical="top" wrapText="1"/>
      <protection/>
    </xf>
    <xf numFmtId="173" fontId="14" fillId="0" borderId="0" xfId="58" applyNumberFormat="1" applyFont="1" applyBorder="1" applyAlignment="1">
      <alignment horizontal="center" vertical="top"/>
      <protection/>
    </xf>
    <xf numFmtId="0" fontId="18" fillId="0" borderId="0" xfId="58" applyFont="1" applyBorder="1" applyAlignment="1">
      <alignment horizontal="justify" vertical="top" wrapText="1"/>
      <protection/>
    </xf>
    <xf numFmtId="0" fontId="14" fillId="0" borderId="0" xfId="58" applyFont="1" applyBorder="1" applyAlignment="1">
      <alignment horizontal="center"/>
      <protection/>
    </xf>
    <xf numFmtId="4" fontId="14" fillId="0" borderId="0" xfId="58" applyNumberFormat="1" applyFont="1" applyBorder="1" applyAlignment="1">
      <alignment horizontal="right"/>
      <protection/>
    </xf>
    <xf numFmtId="0" fontId="14" fillId="0" borderId="0" xfId="58" applyFont="1">
      <alignment/>
      <protection/>
    </xf>
    <xf numFmtId="0" fontId="14" fillId="0" borderId="0" xfId="58" applyFont="1" applyAlignment="1">
      <alignment horizontal="justify" vertical="top" wrapText="1"/>
      <protection/>
    </xf>
    <xf numFmtId="4" fontId="14" fillId="0" borderId="0" xfId="58" applyNumberFormat="1" applyFont="1" applyBorder="1">
      <alignment/>
      <protection/>
    </xf>
    <xf numFmtId="173" fontId="77" fillId="0" borderId="0" xfId="58" applyNumberFormat="1" applyFont="1" applyBorder="1" applyAlignment="1">
      <alignment horizontal="right" vertical="top"/>
      <protection/>
    </xf>
    <xf numFmtId="49" fontId="14" fillId="0" borderId="0" xfId="58" applyNumberFormat="1" applyFont="1" applyBorder="1" applyAlignment="1">
      <alignment horizontal="left" vertical="top" wrapText="1"/>
      <protection/>
    </xf>
    <xf numFmtId="2" fontId="14" fillId="0" borderId="0" xfId="58" applyNumberFormat="1" applyFont="1" applyBorder="1" applyAlignment="1">
      <alignment horizontal="right"/>
      <protection/>
    </xf>
    <xf numFmtId="4" fontId="14" fillId="0" borderId="0" xfId="58" applyNumberFormat="1" applyFont="1" applyFill="1" applyBorder="1">
      <alignment/>
      <protection/>
    </xf>
    <xf numFmtId="0" fontId="77" fillId="0" borderId="0" xfId="58" applyFont="1">
      <alignment/>
      <protection/>
    </xf>
    <xf numFmtId="0" fontId="2" fillId="0" borderId="0" xfId="58" applyFont="1" applyFill="1" applyBorder="1" applyAlignment="1">
      <alignment horizontal="justify" vertical="top" wrapText="1"/>
      <protection/>
    </xf>
    <xf numFmtId="0" fontId="4" fillId="0" borderId="0" xfId="58" applyFont="1" applyBorder="1" applyAlignment="1">
      <alignment horizontal="justify" vertical="top" wrapText="1"/>
      <protection/>
    </xf>
    <xf numFmtId="2" fontId="2" fillId="0" borderId="0" xfId="0" applyNumberFormat="1" applyFont="1" applyBorder="1" applyAlignment="1" quotePrefix="1">
      <alignment horizontal="right"/>
    </xf>
    <xf numFmtId="0" fontId="4" fillId="0" borderId="0" xfId="0" applyFont="1" applyFill="1" applyBorder="1" applyAlignment="1">
      <alignment horizontal="justify" vertical="top" wrapText="1"/>
    </xf>
    <xf numFmtId="0" fontId="17" fillId="0" borderId="0" xfId="0" applyFont="1" applyFill="1" applyAlignment="1">
      <alignment horizontal="left" vertical="top" wrapText="1"/>
    </xf>
    <xf numFmtId="0" fontId="2" fillId="0" borderId="0" xfId="0" applyFont="1" applyBorder="1" applyAlignment="1">
      <alignment horizontal="justify" vertical="top" wrapText="1"/>
    </xf>
    <xf numFmtId="0" fontId="10" fillId="0" borderId="0" xfId="0" applyFont="1" applyAlignment="1">
      <alignment horizontal="center"/>
    </xf>
    <xf numFmtId="173" fontId="2" fillId="0" borderId="0" xfId="0" applyNumberFormat="1" applyFont="1" applyAlignment="1">
      <alignment horizontal="center" vertical="top" wrapText="1"/>
    </xf>
    <xf numFmtId="0" fontId="12"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Fill="1" applyBorder="1" applyAlignment="1">
      <alignment horizontal="left" vertical="top" wrapText="1"/>
    </xf>
    <xf numFmtId="173" fontId="78" fillId="0" borderId="0" xfId="58" applyNumberFormat="1" applyFont="1" applyBorder="1" applyAlignment="1">
      <alignment horizontal="center" vertical="top"/>
      <protection/>
    </xf>
    <xf numFmtId="0" fontId="78" fillId="0" borderId="0" xfId="58" applyFont="1">
      <alignment/>
      <protection/>
    </xf>
    <xf numFmtId="0" fontId="78" fillId="0" borderId="0" xfId="58" applyFont="1" applyBorder="1" applyAlignment="1">
      <alignment horizontal="center"/>
      <protection/>
    </xf>
    <xf numFmtId="2" fontId="78" fillId="0" borderId="0" xfId="58" applyNumberFormat="1" applyFont="1" applyBorder="1" applyAlignment="1">
      <alignment horizontal="right"/>
      <protection/>
    </xf>
    <xf numFmtId="4" fontId="78" fillId="0" borderId="0" xfId="58" applyNumberFormat="1" applyFont="1" applyFill="1" applyBorder="1">
      <alignment/>
      <protection/>
    </xf>
    <xf numFmtId="4" fontId="78" fillId="0" borderId="0" xfId="58" applyNumberFormat="1" applyFont="1" applyBorder="1">
      <alignment/>
      <protection/>
    </xf>
    <xf numFmtId="173" fontId="79" fillId="0" borderId="0" xfId="58" applyNumberFormat="1" applyFont="1" applyBorder="1" applyAlignment="1">
      <alignment horizontal="center" vertical="top"/>
      <protection/>
    </xf>
    <xf numFmtId="0" fontId="78" fillId="0" borderId="0" xfId="58" applyFont="1" applyFill="1" applyBorder="1" applyAlignment="1">
      <alignment horizontal="left" vertical="top" wrapText="1"/>
      <protection/>
    </xf>
    <xf numFmtId="173" fontId="12" fillId="0" borderId="0" xfId="0" applyNumberFormat="1" applyFont="1" applyBorder="1" applyAlignment="1">
      <alignment horizontal="center" vertical="top"/>
    </xf>
    <xf numFmtId="2" fontId="10" fillId="0" borderId="0" xfId="0" applyNumberFormat="1" applyFont="1" applyBorder="1" applyAlignment="1">
      <alignment horizontal="right"/>
    </xf>
    <xf numFmtId="4" fontId="10" fillId="0" borderId="0" xfId="0" applyNumberFormat="1" applyFont="1" applyFill="1" applyBorder="1" applyAlignment="1">
      <alignment/>
    </xf>
    <xf numFmtId="4" fontId="10" fillId="0" borderId="0" xfId="0" applyNumberFormat="1" applyFont="1" applyBorder="1" applyAlignment="1">
      <alignment/>
    </xf>
    <xf numFmtId="0" fontId="2" fillId="0" borderId="0" xfId="58" applyFont="1" applyBorder="1" applyAlignment="1">
      <alignment wrapText="1"/>
      <protection/>
    </xf>
    <xf numFmtId="0" fontId="2" fillId="0" borderId="0" xfId="0" applyFont="1" applyFill="1" applyBorder="1" applyAlignment="1">
      <alignment horizontal="justify" vertical="justify"/>
    </xf>
    <xf numFmtId="0" fontId="2" fillId="0" borderId="0" xfId="0" applyFont="1" applyAlignment="1" quotePrefix="1">
      <alignment horizontal="justify" vertical="top" wrapText="1"/>
    </xf>
    <xf numFmtId="0" fontId="2" fillId="0" borderId="0" xfId="0" applyNumberFormat="1" applyFont="1" applyFill="1" applyBorder="1" applyAlignment="1" applyProtection="1">
      <alignment vertical="top" wrapText="1"/>
      <protection locked="0"/>
    </xf>
    <xf numFmtId="173" fontId="2" fillId="0" borderId="10" xfId="0" applyNumberFormat="1" applyFont="1" applyBorder="1" applyAlignment="1">
      <alignment horizontal="center"/>
    </xf>
    <xf numFmtId="0" fontId="12" fillId="0" borderId="10" xfId="0" applyFont="1" applyBorder="1" applyAlignment="1">
      <alignment/>
    </xf>
    <xf numFmtId="0" fontId="4" fillId="0" borderId="10" xfId="0" applyFont="1" applyBorder="1" applyAlignment="1">
      <alignment horizontal="right"/>
    </xf>
    <xf numFmtId="4" fontId="4" fillId="0" borderId="10" xfId="0" applyNumberFormat="1" applyFont="1" applyBorder="1" applyAlignment="1">
      <alignment/>
    </xf>
    <xf numFmtId="0" fontId="2" fillId="0" borderId="0" xfId="0" applyFont="1" applyAlignment="1" quotePrefix="1">
      <alignment/>
    </xf>
    <xf numFmtId="0" fontId="2" fillId="0" borderId="0" xfId="0" applyFont="1" applyAlignment="1" quotePrefix="1">
      <alignment wrapText="1"/>
    </xf>
    <xf numFmtId="0" fontId="2" fillId="0" borderId="0" xfId="0" applyFont="1" applyBorder="1" applyAlignment="1" quotePrefix="1">
      <alignment horizontal="left" vertical="top" wrapText="1"/>
    </xf>
    <xf numFmtId="0" fontId="2" fillId="0" borderId="0" xfId="0" applyFont="1" applyFill="1" applyAlignment="1" quotePrefix="1">
      <alignment vertical="top" wrapText="1"/>
    </xf>
    <xf numFmtId="2" fontId="2" fillId="0" borderId="0" xfId="0" applyNumberFormat="1" applyFont="1" applyBorder="1" applyAlignment="1" quotePrefix="1">
      <alignment horizontal="right" vertical="top" wrapText="1"/>
    </xf>
    <xf numFmtId="2" fontId="2" fillId="0" borderId="0" xfId="0" applyNumberFormat="1" applyFont="1" applyBorder="1" applyAlignment="1" quotePrefix="1">
      <alignment horizontal="left" wrapText="1"/>
    </xf>
    <xf numFmtId="0" fontId="2" fillId="0" borderId="0" xfId="0" applyFont="1" applyFill="1" applyBorder="1" applyAlignment="1" quotePrefix="1">
      <alignment horizontal="left" vertical="top" wrapText="1"/>
    </xf>
    <xf numFmtId="0" fontId="2" fillId="0" borderId="0" xfId="0" applyFont="1" applyBorder="1" applyAlignment="1" quotePrefix="1">
      <alignment horizontal="justify" vertical="top" wrapText="1"/>
    </xf>
    <xf numFmtId="0" fontId="2" fillId="0" borderId="0" xfId="0" applyFont="1" applyBorder="1" applyAlignment="1" quotePrefix="1">
      <alignment horizontal="justify" vertical="top" wrapText="1"/>
    </xf>
    <xf numFmtId="0" fontId="4" fillId="0" borderId="0" xfId="0" applyFont="1" applyAlignment="1">
      <alignment horizontal="left" wrapText="1"/>
    </xf>
    <xf numFmtId="0" fontId="2" fillId="0" borderId="0" xfId="0" applyFont="1" applyAlignment="1">
      <alignment vertical="top" wrapText="1"/>
    </xf>
    <xf numFmtId="0" fontId="2" fillId="0" borderId="0" xfId="0" applyFont="1" applyFill="1" applyBorder="1" applyAlignment="1" quotePrefix="1">
      <alignment horizontal="justify" vertical="top" wrapText="1"/>
    </xf>
    <xf numFmtId="0" fontId="4" fillId="0" borderId="0" xfId="0" applyFont="1" applyBorder="1" applyAlignment="1">
      <alignment horizontal="justify" wrapText="1"/>
    </xf>
    <xf numFmtId="0" fontId="2" fillId="0" borderId="0" xfId="58" applyFont="1" applyAlignment="1">
      <alignment wrapText="1"/>
      <protection/>
    </xf>
    <xf numFmtId="2" fontId="2" fillId="0" borderId="0" xfId="58" applyNumberFormat="1" applyFont="1" applyAlignment="1" quotePrefix="1">
      <alignment wrapText="1"/>
      <protection/>
    </xf>
    <xf numFmtId="2" fontId="72" fillId="0" borderId="0" xfId="0" applyNumberFormat="1" applyFont="1" applyBorder="1" applyAlignment="1">
      <alignment/>
    </xf>
    <xf numFmtId="2" fontId="2" fillId="0" borderId="0" xfId="0" applyNumberFormat="1" applyFont="1" applyFill="1" applyBorder="1" applyAlignment="1">
      <alignment horizontal="right"/>
    </xf>
    <xf numFmtId="4" fontId="72" fillId="0" borderId="0" xfId="0" applyNumberFormat="1" applyFont="1" applyFill="1" applyBorder="1" applyAlignment="1">
      <alignment/>
    </xf>
    <xf numFmtId="4" fontId="72" fillId="0" borderId="0" xfId="0" applyNumberFormat="1" applyFont="1" applyBorder="1" applyAlignment="1">
      <alignment/>
    </xf>
    <xf numFmtId="49" fontId="4" fillId="0" borderId="0" xfId="0" applyNumberFormat="1" applyFont="1" applyBorder="1" applyAlignment="1">
      <alignment horizontal="justify" vertical="top" wrapText="1"/>
    </xf>
    <xf numFmtId="0" fontId="72" fillId="0" borderId="0" xfId="0" applyFont="1" applyBorder="1" applyAlignment="1">
      <alignment horizontal="center"/>
    </xf>
    <xf numFmtId="1" fontId="2" fillId="0" borderId="0" xfId="0" applyNumberFormat="1" applyFont="1" applyBorder="1" applyAlignment="1">
      <alignment horizontal="right"/>
    </xf>
    <xf numFmtId="0" fontId="7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2" fontId="2" fillId="0" borderId="0" xfId="0" applyNumberFormat="1" applyFont="1" applyBorder="1" applyAlignment="1">
      <alignment/>
    </xf>
    <xf numFmtId="2" fontId="2" fillId="0" borderId="0" xfId="0" applyNumberFormat="1" applyFont="1" applyBorder="1" applyAlignment="1" quotePrefix="1">
      <alignment horizontal="right" vertical="top" wrapText="1"/>
    </xf>
    <xf numFmtId="2" fontId="2" fillId="0" borderId="0" xfId="0" applyNumberFormat="1" applyFont="1" applyBorder="1" applyAlignment="1">
      <alignment horizontal="right" wrapText="1"/>
    </xf>
    <xf numFmtId="2" fontId="2" fillId="0" borderId="0" xfId="0" applyNumberFormat="1" applyFont="1" applyBorder="1" applyAlignment="1" quotePrefix="1">
      <alignment/>
    </xf>
    <xf numFmtId="0" fontId="4" fillId="0" borderId="0" xfId="0" applyFont="1" applyBorder="1" applyAlignment="1">
      <alignment horizontal="justify" vertical="top" wrapText="1"/>
    </xf>
    <xf numFmtId="49" fontId="2" fillId="0" borderId="0" xfId="0" applyNumberFormat="1" applyFont="1" applyBorder="1" applyAlignment="1" quotePrefix="1">
      <alignment horizontal="left" vertical="top" wrapText="1"/>
    </xf>
    <xf numFmtId="173" fontId="19" fillId="0" borderId="0" xfId="0" applyNumberFormat="1" applyFont="1" applyBorder="1" applyAlignment="1">
      <alignment horizontal="center" vertical="top"/>
    </xf>
    <xf numFmtId="0" fontId="14" fillId="0" borderId="0" xfId="0" applyFont="1" applyBorder="1" applyAlignment="1">
      <alignment/>
    </xf>
    <xf numFmtId="0" fontId="12" fillId="0" borderId="0" xfId="0" applyFont="1" applyBorder="1" applyAlignment="1">
      <alignment horizontal="left" vertical="top" wrapText="1"/>
    </xf>
    <xf numFmtId="0" fontId="2" fillId="0" borderId="0" xfId="0" applyFont="1" applyAlignment="1" quotePrefix="1">
      <alignment horizontal="justify" vertical="top" wrapText="1"/>
    </xf>
    <xf numFmtId="173" fontId="2" fillId="0" borderId="12"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xf>
    <xf numFmtId="173" fontId="2" fillId="0" borderId="0" xfId="0" applyNumberFormat="1" applyFont="1" applyFill="1" applyBorder="1" applyAlignment="1">
      <alignment horizontal="center" vertical="center"/>
    </xf>
    <xf numFmtId="173" fontId="4" fillId="0" borderId="13" xfId="0" applyNumberFormat="1" applyFont="1" applyFill="1" applyBorder="1" applyAlignment="1">
      <alignment horizontal="center" vertical="top"/>
    </xf>
    <xf numFmtId="173" fontId="4" fillId="0" borderId="0" xfId="0" applyNumberFormat="1" applyFont="1" applyFill="1" applyBorder="1" applyAlignment="1">
      <alignment horizontal="center" vertical="top"/>
    </xf>
    <xf numFmtId="173" fontId="4" fillId="0" borderId="0" xfId="0" applyNumberFormat="1" applyFont="1" applyFill="1" applyAlignment="1">
      <alignment horizontal="center" vertical="top" wrapText="1"/>
    </xf>
    <xf numFmtId="173" fontId="2" fillId="0" borderId="0" xfId="0" applyNumberFormat="1" applyFont="1" applyFill="1" applyBorder="1" applyAlignment="1">
      <alignment horizontal="center" vertical="top"/>
    </xf>
    <xf numFmtId="0" fontId="2" fillId="0" borderId="0" xfId="0" applyFont="1" applyFill="1" applyAlignment="1">
      <alignment/>
    </xf>
    <xf numFmtId="173" fontId="2" fillId="0" borderId="0" xfId="0" applyNumberFormat="1" applyFont="1" applyFill="1" applyBorder="1" applyAlignment="1">
      <alignment horizontal="right" vertical="top"/>
    </xf>
    <xf numFmtId="173" fontId="14" fillId="0" borderId="0" xfId="0" applyNumberFormat="1" applyFont="1" applyFill="1" applyBorder="1" applyAlignment="1">
      <alignment horizontal="right" vertical="top"/>
    </xf>
    <xf numFmtId="173" fontId="2" fillId="0" borderId="0" xfId="0" applyNumberFormat="1" applyFont="1" applyFill="1" applyAlignment="1">
      <alignment horizontal="center" vertical="top" wrapText="1"/>
    </xf>
    <xf numFmtId="173" fontId="4" fillId="0" borderId="13" xfId="0" applyNumberFormat="1" applyFont="1" applyFill="1" applyBorder="1" applyAlignment="1">
      <alignment horizontal="center"/>
    </xf>
    <xf numFmtId="173" fontId="4" fillId="0" borderId="0" xfId="0" applyNumberFormat="1" applyFont="1" applyFill="1" applyAlignment="1">
      <alignment horizontal="center" vertical="top"/>
    </xf>
    <xf numFmtId="173" fontId="2" fillId="0" borderId="0" xfId="0" applyNumberFormat="1" applyFont="1" applyFill="1" applyAlignment="1">
      <alignment/>
    </xf>
    <xf numFmtId="0" fontId="2"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12" xfId="0" applyFont="1" applyFill="1" applyBorder="1" applyAlignment="1">
      <alignment horizontal="center" vertical="center"/>
    </xf>
    <xf numFmtId="173"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xf>
    <xf numFmtId="173" fontId="4" fillId="0" borderId="13" xfId="58" applyNumberFormat="1" applyFont="1" applyFill="1" applyBorder="1" applyAlignment="1">
      <alignment horizontal="center" vertical="top"/>
      <protection/>
    </xf>
    <xf numFmtId="0" fontId="4" fillId="0" borderId="13" xfId="58" applyFont="1" applyFill="1" applyBorder="1" applyAlignment="1">
      <alignment horizontal="left" vertical="top" wrapText="1"/>
      <protection/>
    </xf>
    <xf numFmtId="0" fontId="10" fillId="0" borderId="13" xfId="58" applyFont="1" applyFill="1" applyBorder="1">
      <alignment/>
      <protection/>
    </xf>
    <xf numFmtId="0" fontId="2" fillId="0" borderId="13" xfId="58" applyFont="1" applyFill="1" applyBorder="1">
      <alignment/>
      <protection/>
    </xf>
    <xf numFmtId="2" fontId="2" fillId="0" borderId="0" xfId="58" applyNumberFormat="1" applyFont="1" applyFill="1">
      <alignment/>
      <protection/>
    </xf>
    <xf numFmtId="0" fontId="2" fillId="0" borderId="0" xfId="58" applyFont="1" applyFill="1">
      <alignment/>
      <protection/>
    </xf>
    <xf numFmtId="173" fontId="19" fillId="0" borderId="0" xfId="58" applyNumberFormat="1" applyFont="1" applyFill="1" applyBorder="1" applyAlignment="1">
      <alignment horizontal="center" vertical="top"/>
      <protection/>
    </xf>
    <xf numFmtId="0" fontId="19" fillId="0" borderId="0" xfId="58" applyFont="1" applyFill="1" applyBorder="1" applyAlignment="1">
      <alignment horizontal="center" vertical="top" wrapText="1"/>
      <protection/>
    </xf>
    <xf numFmtId="0" fontId="14" fillId="0" borderId="0" xfId="58" applyFont="1" applyFill="1" applyBorder="1">
      <alignment/>
      <protection/>
    </xf>
    <xf numFmtId="0" fontId="14" fillId="0" borderId="0" xfId="58" applyFont="1" applyFill="1">
      <alignment/>
      <protection/>
    </xf>
    <xf numFmtId="173" fontId="4" fillId="0" borderId="0" xfId="58" applyNumberFormat="1" applyFont="1" applyFill="1" applyBorder="1" applyAlignment="1">
      <alignment horizontal="center" vertical="top"/>
      <protection/>
    </xf>
    <xf numFmtId="0" fontId="2" fillId="0" borderId="0" xfId="58" applyFont="1" applyFill="1" applyAlignment="1">
      <alignment horizontal="justify" vertical="top" wrapText="1"/>
      <protection/>
    </xf>
    <xf numFmtId="0" fontId="10" fillId="0" borderId="0" xfId="58" applyFont="1" applyFill="1" applyBorder="1">
      <alignment/>
      <protection/>
    </xf>
    <xf numFmtId="0" fontId="2" fillId="0" borderId="0" xfId="58" applyFont="1" applyFill="1" applyBorder="1">
      <alignment/>
      <protection/>
    </xf>
    <xf numFmtId="0" fontId="4" fillId="0" borderId="0" xfId="58" applyFont="1" applyFill="1" applyBorder="1" applyAlignment="1">
      <alignment horizontal="center" vertical="top" wrapText="1"/>
      <protection/>
    </xf>
    <xf numFmtId="173" fontId="4" fillId="0" borderId="0" xfId="58" applyNumberFormat="1" applyFont="1" applyFill="1" applyAlignment="1">
      <alignment vertical="top" wrapText="1"/>
      <protection/>
    </xf>
    <xf numFmtId="0" fontId="10" fillId="0" borderId="0" xfId="58" applyFont="1" applyFill="1">
      <alignment/>
      <protection/>
    </xf>
    <xf numFmtId="0" fontId="10" fillId="0" borderId="0" xfId="58" applyFont="1" applyFill="1" applyBorder="1" applyAlignment="1">
      <alignment horizontal="center"/>
      <protection/>
    </xf>
    <xf numFmtId="0" fontId="2" fillId="0" borderId="0" xfId="58" applyFont="1" applyFill="1" applyBorder="1" applyAlignment="1">
      <alignment horizontal="center"/>
      <protection/>
    </xf>
    <xf numFmtId="173" fontId="17" fillId="0" borderId="0" xfId="58" applyNumberFormat="1" applyFont="1" applyFill="1" applyBorder="1" applyAlignment="1">
      <alignment horizontal="center" vertical="top"/>
      <protection/>
    </xf>
    <xf numFmtId="0" fontId="17" fillId="0" borderId="0" xfId="58" applyFont="1" applyFill="1" applyAlignment="1">
      <alignment horizontal="justify" vertical="top" wrapText="1"/>
      <protection/>
    </xf>
    <xf numFmtId="0" fontId="2" fillId="0" borderId="0" xfId="58" applyFont="1" applyFill="1" applyAlignment="1">
      <alignment horizontal="left" vertical="top" wrapText="1"/>
      <protection/>
    </xf>
    <xf numFmtId="2" fontId="2" fillId="0" borderId="0" xfId="58" applyNumberFormat="1" applyFont="1" applyFill="1" applyBorder="1">
      <alignment/>
      <protection/>
    </xf>
    <xf numFmtId="0" fontId="2" fillId="0" borderId="11" xfId="58" applyFont="1" applyFill="1" applyBorder="1" applyAlignment="1">
      <alignment horizontal="center"/>
      <protection/>
    </xf>
    <xf numFmtId="2" fontId="2" fillId="0" borderId="11" xfId="58" applyNumberFormat="1" applyFont="1" applyFill="1" applyBorder="1">
      <alignment/>
      <protection/>
    </xf>
    <xf numFmtId="0" fontId="2" fillId="0" borderId="11" xfId="58" applyFont="1" applyFill="1" applyBorder="1">
      <alignment/>
      <protection/>
    </xf>
    <xf numFmtId="2" fontId="2" fillId="0" borderId="0" xfId="58" applyNumberFormat="1" applyFont="1" applyFill="1" applyBorder="1" applyAlignment="1">
      <alignment horizontal="right"/>
      <protection/>
    </xf>
    <xf numFmtId="0" fontId="2" fillId="0" borderId="0" xfId="58" applyFont="1" applyFill="1" applyAlignment="1">
      <alignment horizontal="justify"/>
      <protection/>
    </xf>
    <xf numFmtId="0" fontId="4" fillId="0" borderId="0" xfId="58" applyFont="1" applyFill="1">
      <alignment/>
      <protection/>
    </xf>
    <xf numFmtId="0" fontId="4" fillId="0" borderId="0" xfId="58" applyFont="1" applyFill="1" applyAlignment="1">
      <alignment horizontal="justify" vertical="top" wrapText="1"/>
      <protection/>
    </xf>
    <xf numFmtId="0" fontId="2" fillId="0" borderId="0" xfId="58" applyFont="1" applyFill="1" applyAlignment="1">
      <alignment horizontal="justify" vertical="top" wrapText="1"/>
      <protection/>
    </xf>
    <xf numFmtId="4" fontId="2" fillId="0" borderId="0" xfId="58" applyNumberFormat="1" applyFont="1" applyFill="1" applyBorder="1" applyAlignment="1">
      <alignment horizontal="right"/>
      <protection/>
    </xf>
    <xf numFmtId="0" fontId="71" fillId="0" borderId="0" xfId="58" applyFont="1" applyFill="1">
      <alignment/>
      <protection/>
    </xf>
    <xf numFmtId="173" fontId="80" fillId="0" borderId="0" xfId="58" applyNumberFormat="1" applyFont="1" applyFill="1" applyBorder="1" applyAlignment="1">
      <alignment horizontal="center" vertical="top"/>
      <protection/>
    </xf>
    <xf numFmtId="173" fontId="80" fillId="0" borderId="0" xfId="58" applyNumberFormat="1" applyFont="1" applyFill="1" applyBorder="1" applyAlignment="1">
      <alignment horizontal="right" vertical="top"/>
      <protection/>
    </xf>
    <xf numFmtId="49" fontId="2" fillId="0" borderId="0" xfId="58" applyNumberFormat="1" applyFont="1" applyFill="1" applyBorder="1" applyAlignment="1">
      <alignment horizontal="left" vertical="top" wrapText="1"/>
      <protection/>
    </xf>
    <xf numFmtId="173" fontId="4" fillId="0" borderId="0" xfId="58" applyNumberFormat="1" applyFont="1" applyFill="1" applyBorder="1" applyAlignment="1">
      <alignment horizontal="right" vertical="top"/>
      <protection/>
    </xf>
    <xf numFmtId="49" fontId="2" fillId="0" borderId="0" xfId="58" applyNumberFormat="1" applyFont="1" applyFill="1" applyBorder="1" applyAlignment="1">
      <alignment horizontal="justify" vertical="top" wrapText="1"/>
      <protection/>
    </xf>
    <xf numFmtId="2" fontId="2" fillId="0" borderId="0" xfId="58" applyNumberFormat="1" applyFont="1" applyFill="1" applyBorder="1" applyAlignment="1" quotePrefix="1">
      <alignment horizontal="left"/>
      <protection/>
    </xf>
    <xf numFmtId="2" fontId="2" fillId="0" borderId="0" xfId="58" applyNumberFormat="1" applyFont="1" applyFill="1" applyAlignment="1">
      <alignment horizontal="right"/>
      <protection/>
    </xf>
    <xf numFmtId="0" fontId="2" fillId="0" borderId="0" xfId="58" applyFont="1" applyFill="1" applyBorder="1" applyAlignment="1" quotePrefix="1">
      <alignment horizontal="left" vertical="top" wrapText="1"/>
      <protection/>
    </xf>
    <xf numFmtId="0" fontId="71" fillId="0" borderId="0" xfId="58" applyFont="1" applyFill="1" applyBorder="1" applyAlignment="1" quotePrefix="1">
      <alignment horizontal="left" vertical="top" wrapText="1"/>
      <protection/>
    </xf>
    <xf numFmtId="2" fontId="2" fillId="0" borderId="0" xfId="58" applyNumberFormat="1" applyFont="1" applyFill="1" applyAlignment="1">
      <alignment wrapText="1"/>
      <protection/>
    </xf>
    <xf numFmtId="0" fontId="4" fillId="0" borderId="0" xfId="58" applyFont="1" applyFill="1" applyBorder="1" applyAlignment="1">
      <alignment horizontal="justify" vertical="top" wrapText="1"/>
      <protection/>
    </xf>
    <xf numFmtId="0" fontId="2" fillId="0" borderId="0" xfId="58" applyFont="1" applyFill="1" applyBorder="1" applyAlignment="1" quotePrefix="1">
      <alignment horizontal="left" vertical="top" wrapText="1"/>
      <protection/>
    </xf>
    <xf numFmtId="2" fontId="2" fillId="0" borderId="0" xfId="58" applyNumberFormat="1" applyFont="1" applyFill="1" quotePrefix="1">
      <alignment/>
      <protection/>
    </xf>
    <xf numFmtId="0" fontId="2" fillId="0" borderId="0" xfId="58" applyFont="1" applyFill="1" applyBorder="1" applyAlignment="1" quotePrefix="1">
      <alignment horizontal="justify" vertical="top" wrapText="1"/>
      <protection/>
    </xf>
    <xf numFmtId="173" fontId="81" fillId="0" borderId="0" xfId="58" applyNumberFormat="1" applyFont="1" applyFill="1" applyBorder="1" applyAlignment="1">
      <alignment horizontal="center" vertical="top"/>
      <protection/>
    </xf>
    <xf numFmtId="0" fontId="73" fillId="0" borderId="0" xfId="58" applyFont="1" applyFill="1" applyBorder="1" applyAlignment="1">
      <alignment horizontal="center"/>
      <protection/>
    </xf>
    <xf numFmtId="2" fontId="73" fillId="0" borderId="0" xfId="58" applyNumberFormat="1" applyFont="1" applyFill="1" applyBorder="1" applyAlignment="1">
      <alignment horizontal="right"/>
      <protection/>
    </xf>
    <xf numFmtId="0" fontId="73" fillId="0" borderId="0" xfId="58" applyFont="1" applyFill="1">
      <alignment/>
      <protection/>
    </xf>
    <xf numFmtId="0" fontId="4" fillId="0" borderId="0" xfId="58" applyFont="1" applyFill="1" applyBorder="1" applyAlignment="1" quotePrefix="1">
      <alignment horizontal="left" vertical="top" wrapText="1"/>
      <protection/>
    </xf>
    <xf numFmtId="0" fontId="2" fillId="0" borderId="0" xfId="0" applyFont="1" applyFill="1" applyBorder="1" applyAlignment="1">
      <alignment horizontal="center"/>
    </xf>
    <xf numFmtId="49" fontId="4"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173" fontId="2" fillId="0" borderId="0" xfId="58" applyNumberFormat="1" applyFont="1" applyFill="1" applyBorder="1" applyAlignment="1">
      <alignment horizontal="right" vertical="top"/>
      <protection/>
    </xf>
    <xf numFmtId="173" fontId="4" fillId="0" borderId="13" xfId="58" applyNumberFormat="1" applyFont="1" applyFill="1" applyBorder="1" applyAlignment="1">
      <alignment horizontal="center"/>
      <protection/>
    </xf>
    <xf numFmtId="0" fontId="4" fillId="0" borderId="13" xfId="58" applyFont="1" applyFill="1" applyBorder="1">
      <alignment/>
      <protection/>
    </xf>
    <xf numFmtId="0" fontId="12" fillId="0" borderId="13" xfId="58" applyFont="1" applyFill="1" applyBorder="1">
      <alignment/>
      <protection/>
    </xf>
    <xf numFmtId="0" fontId="4" fillId="0" borderId="13" xfId="58" applyFont="1" applyFill="1" applyBorder="1" applyAlignment="1">
      <alignment horizontal="right"/>
      <protection/>
    </xf>
    <xf numFmtId="4" fontId="4" fillId="0" borderId="13" xfId="58" applyNumberFormat="1" applyFont="1" applyFill="1" applyBorder="1">
      <alignment/>
      <protection/>
    </xf>
    <xf numFmtId="0" fontId="10" fillId="0" borderId="0" xfId="0" applyFont="1" applyFill="1" applyAlignment="1">
      <alignment/>
    </xf>
    <xf numFmtId="0" fontId="4" fillId="0" borderId="0" xfId="0" applyNumberFormat="1" applyFont="1" applyBorder="1" applyAlignment="1">
      <alignment horizontal="justify" vertical="top" wrapText="1"/>
    </xf>
    <xf numFmtId="1" fontId="4" fillId="0" borderId="0" xfId="58" applyNumberFormat="1" applyFont="1" applyBorder="1" applyAlignment="1">
      <alignment horizontal="right" vertical="top"/>
      <protection/>
    </xf>
    <xf numFmtId="0" fontId="4" fillId="0" borderId="0" xfId="0" applyFont="1" applyFill="1" applyBorder="1" applyAlignment="1">
      <alignment horizontal="justify" vertical="top" wrapText="1"/>
    </xf>
    <xf numFmtId="0" fontId="6" fillId="0" borderId="0" xfId="0" applyFont="1" applyAlignment="1">
      <alignment/>
    </xf>
    <xf numFmtId="0" fontId="5" fillId="0" borderId="0" xfId="0" applyFont="1" applyAlignment="1">
      <alignment horizontal="center" vertical="top"/>
    </xf>
    <xf numFmtId="0" fontId="3" fillId="0" borderId="0" xfId="0" applyFont="1" applyAlignment="1">
      <alignment horizontal="center"/>
    </xf>
    <xf numFmtId="0" fontId="4" fillId="0" borderId="0" xfId="0" applyFont="1" applyFill="1" applyBorder="1" applyAlignment="1">
      <alignment horizontal="justify" vertical="top"/>
    </xf>
    <xf numFmtId="0" fontId="0" fillId="0" borderId="0" xfId="0" applyAlignment="1">
      <alignment/>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xf>
    <xf numFmtId="0" fontId="2" fillId="0" borderId="18"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G35"/>
  <sheetViews>
    <sheetView view="pageLayout" zoomScaleSheetLayoutView="100" workbookViewId="0" topLeftCell="A7">
      <selection activeCell="B14" sqref="B14:E14"/>
    </sheetView>
  </sheetViews>
  <sheetFormatPr defaultColWidth="8.88671875" defaultRowHeight="15"/>
  <cols>
    <col min="1" max="1" width="5.77734375" style="2" customWidth="1"/>
    <col min="2" max="2" width="33.77734375" style="2" customWidth="1"/>
    <col min="3" max="4" width="7.77734375" style="2" customWidth="1"/>
    <col min="5" max="5" width="11.77734375" style="2" customWidth="1"/>
    <col min="6" max="6" width="12.77734375" style="2" customWidth="1"/>
    <col min="7" max="16384" width="8.88671875" style="2" customWidth="1"/>
  </cols>
  <sheetData>
    <row r="5" spans="1:6" ht="12.75">
      <c r="A5" s="6"/>
      <c r="B5" s="7"/>
      <c r="C5" s="8"/>
      <c r="D5" s="8"/>
      <c r="E5" s="9"/>
      <c r="F5" s="9"/>
    </row>
    <row r="7" spans="1:6" ht="12.75">
      <c r="A7" s="6"/>
      <c r="B7" s="7"/>
      <c r="C7" s="8"/>
      <c r="D7" s="8"/>
      <c r="E7" s="9"/>
      <c r="F7" s="9"/>
    </row>
    <row r="8" spans="1:6" ht="12.75">
      <c r="A8" s="6"/>
      <c r="B8" s="7"/>
      <c r="C8" s="8"/>
      <c r="D8" s="8"/>
      <c r="E8" s="9"/>
      <c r="F8" s="9"/>
    </row>
    <row r="9" spans="1:6" ht="14.25">
      <c r="A9" s="427"/>
      <c r="B9" s="427"/>
      <c r="C9" s="427"/>
      <c r="D9" s="427"/>
      <c r="E9" s="427"/>
      <c r="F9" s="427"/>
    </row>
    <row r="10" spans="1:7" ht="87.75" customHeight="1">
      <c r="A10" s="185"/>
      <c r="B10" s="428"/>
      <c r="C10" s="425"/>
      <c r="D10" s="425"/>
      <c r="E10" s="425"/>
      <c r="F10" s="32"/>
      <c r="G10" s="41"/>
    </row>
    <row r="11" spans="1:7" ht="36.75" customHeight="1">
      <c r="A11" s="185"/>
      <c r="B11" s="428"/>
      <c r="C11" s="425"/>
      <c r="D11" s="425"/>
      <c r="E11" s="425"/>
      <c r="F11" s="32"/>
      <c r="G11" s="41"/>
    </row>
    <row r="12" spans="1:6" ht="18">
      <c r="A12" s="426" t="s">
        <v>1479</v>
      </c>
      <c r="B12" s="426"/>
      <c r="C12" s="426"/>
      <c r="D12" s="426"/>
      <c r="E12" s="426"/>
      <c r="F12" s="426"/>
    </row>
    <row r="13" spans="1:7" ht="182.25" customHeight="1">
      <c r="A13" s="185"/>
      <c r="B13" s="424"/>
      <c r="C13" s="425"/>
      <c r="D13" s="425"/>
      <c r="E13" s="425"/>
      <c r="F13" s="32"/>
      <c r="G13" s="41"/>
    </row>
    <row r="14" spans="1:7" ht="53.25" customHeight="1">
      <c r="A14" s="185"/>
      <c r="B14" s="424"/>
      <c r="C14" s="425"/>
      <c r="D14" s="425"/>
      <c r="E14" s="425"/>
      <c r="F14" s="32"/>
      <c r="G14" s="41"/>
    </row>
    <row r="15" spans="1:3" ht="41.25" customHeight="1">
      <c r="A15" s="185"/>
      <c r="B15" s="32"/>
      <c r="C15" s="41"/>
    </row>
    <row r="16" spans="1:7" ht="12.75">
      <c r="A16" s="185"/>
      <c r="B16" s="49"/>
      <c r="C16" s="62"/>
      <c r="D16" s="189"/>
      <c r="E16" s="32"/>
      <c r="F16" s="32"/>
      <c r="G16" s="41"/>
    </row>
    <row r="17" spans="1:6" ht="12.75">
      <c r="A17" s="6"/>
      <c r="B17" s="7"/>
      <c r="C17" s="8"/>
      <c r="D17" s="8"/>
      <c r="E17" s="9"/>
      <c r="F17" s="9"/>
    </row>
    <row r="18" spans="1:6" ht="12.75">
      <c r="A18" s="6"/>
      <c r="B18" s="7"/>
      <c r="C18" s="8"/>
      <c r="D18" s="8"/>
      <c r="E18" s="9"/>
      <c r="F18" s="9"/>
    </row>
    <row r="19" ht="12.75">
      <c r="B19" s="25"/>
    </row>
    <row r="21" ht="12.75">
      <c r="A21" s="18"/>
    </row>
    <row r="22" ht="12.75">
      <c r="A22" s="24"/>
    </row>
    <row r="23" ht="12.75">
      <c r="A23" s="24"/>
    </row>
    <row r="24" ht="12.75">
      <c r="A24" s="24"/>
    </row>
    <row r="25" ht="12.75">
      <c r="A25" s="24"/>
    </row>
    <row r="26" ht="12.75">
      <c r="A26" s="18"/>
    </row>
    <row r="27" ht="12.75">
      <c r="A27" s="24"/>
    </row>
    <row r="28" ht="12.75">
      <c r="A28" s="24"/>
    </row>
    <row r="29" ht="12.75">
      <c r="A29" s="18"/>
    </row>
    <row r="30" ht="12.75">
      <c r="A30" s="24"/>
    </row>
    <row r="32" ht="12.75">
      <c r="A32" s="18"/>
    </row>
    <row r="35" ht="12.75">
      <c r="A35" s="18"/>
    </row>
  </sheetData>
  <sheetProtection/>
  <mergeCells count="6">
    <mergeCell ref="B14:E14"/>
    <mergeCell ref="A12:F12"/>
    <mergeCell ref="A9:F9"/>
    <mergeCell ref="B10:E10"/>
    <mergeCell ref="B11:E11"/>
    <mergeCell ref="B13:E13"/>
  </mergeCells>
  <printOptions/>
  <pageMargins left="0.5511811023622047" right="0.2362204724409449" top="0.5905511811023623" bottom="0.5118110236220472" header="0.4724409448818898" footer="0.5511811023622047"/>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89"/>
  <sheetViews>
    <sheetView zoomScaleSheetLayoutView="110" zoomScalePageLayoutView="0" workbookViewId="0" topLeftCell="A1">
      <pane ySplit="2" topLeftCell="A166" activePane="bottomLeft" state="frozen"/>
      <selection pane="topLeft" activeCell="C203" sqref="C203"/>
      <selection pane="bottomLeft" activeCell="C203" sqref="C203"/>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f>'bravarski radovi'!A4+100</f>
        <v>800</v>
      </c>
      <c r="B4" s="82" t="s">
        <v>101</v>
      </c>
      <c r="C4" s="63"/>
      <c r="D4" s="13"/>
      <c r="E4" s="13"/>
      <c r="F4" s="13"/>
    </row>
    <row r="5" spans="1:6" ht="12.75">
      <c r="A5" s="73"/>
      <c r="B5" s="74"/>
      <c r="C5" s="59"/>
      <c r="D5" s="3"/>
      <c r="E5" s="3"/>
      <c r="F5" s="3"/>
    </row>
    <row r="6" spans="1:6" ht="12.75">
      <c r="A6" s="73"/>
      <c r="B6" s="74" t="s">
        <v>105</v>
      </c>
      <c r="C6" s="59"/>
      <c r="D6" s="3"/>
      <c r="E6" s="3"/>
      <c r="F6" s="3"/>
    </row>
    <row r="7" spans="1:6" ht="12.75">
      <c r="A7" s="73"/>
      <c r="B7" s="74"/>
      <c r="C7" s="59"/>
      <c r="D7" s="3"/>
      <c r="E7" s="3"/>
      <c r="F7" s="3"/>
    </row>
    <row r="8" spans="1:2" ht="102">
      <c r="A8" s="58">
        <f>A4+1</f>
        <v>801</v>
      </c>
      <c r="B8" s="57" t="s">
        <v>446</v>
      </c>
    </row>
    <row r="9" spans="1:2" ht="89.25">
      <c r="A9" s="58"/>
      <c r="B9" s="57" t="s">
        <v>397</v>
      </c>
    </row>
    <row r="10" spans="1:2" ht="25.5">
      <c r="A10" s="58"/>
      <c r="B10" s="57" t="s">
        <v>270</v>
      </c>
    </row>
    <row r="11" spans="1:2" ht="52.5" customHeight="1">
      <c r="A11" s="58"/>
      <c r="B11" s="145" t="s">
        <v>396</v>
      </c>
    </row>
    <row r="12" spans="1:2" ht="12.75">
      <c r="A12" s="54"/>
      <c r="B12" s="67" t="s">
        <v>286</v>
      </c>
    </row>
    <row r="13" spans="1:2" ht="12.75">
      <c r="A13" s="54"/>
      <c r="B13" s="92" t="s">
        <v>447</v>
      </c>
    </row>
    <row r="14" spans="1:4" ht="25.5">
      <c r="A14" s="54"/>
      <c r="B14" s="93" t="s">
        <v>1076</v>
      </c>
      <c r="C14" s="27" t="s">
        <v>11</v>
      </c>
      <c r="D14" s="69">
        <f>(10.51+2.77+10.37+2.79+10.91+10.92+11.25)*1.01</f>
        <v>60.115199999999994</v>
      </c>
    </row>
    <row r="15" spans="1:6" ht="12.75">
      <c r="A15" s="54"/>
      <c r="B15" s="92" t="s">
        <v>448</v>
      </c>
      <c r="C15" s="27"/>
      <c r="D15" s="69"/>
      <c r="E15" s="40"/>
      <c r="F15" s="28"/>
    </row>
    <row r="16" spans="1:6" ht="12.75">
      <c r="A16" s="54"/>
      <c r="B16" s="93" t="s">
        <v>1075</v>
      </c>
      <c r="C16" s="76" t="s">
        <v>11</v>
      </c>
      <c r="D16" s="85">
        <f>(10.39+10.53+19.47+3.55)*1.01</f>
        <v>44.3794</v>
      </c>
      <c r="E16" s="90"/>
      <c r="F16" s="91"/>
    </row>
    <row r="17" spans="1:6" ht="12.75">
      <c r="A17" s="54"/>
      <c r="B17" s="44"/>
      <c r="C17" s="27" t="s">
        <v>11</v>
      </c>
      <c r="D17" s="69">
        <f>SUM(D14:D16)</f>
        <v>104.49459999999999</v>
      </c>
      <c r="E17" s="40"/>
      <c r="F17" s="28"/>
    </row>
    <row r="18" spans="1:6" ht="12.75">
      <c r="A18" s="54"/>
      <c r="B18" s="44" t="s">
        <v>57</v>
      </c>
      <c r="C18" s="2"/>
      <c r="D18" s="27"/>
      <c r="E18" s="40"/>
      <c r="F18" s="28"/>
    </row>
    <row r="19" spans="1:6" ht="12.75">
      <c r="A19" s="54"/>
      <c r="B19" s="93" t="s">
        <v>1099</v>
      </c>
      <c r="C19" s="27" t="s">
        <v>13</v>
      </c>
      <c r="D19" s="69">
        <f>(13.51+13.35+14.3-3*0.9)*1.01</f>
        <v>38.84459999999999</v>
      </c>
      <c r="E19" s="40"/>
      <c r="F19" s="28"/>
    </row>
    <row r="20" spans="1:6" ht="12.75">
      <c r="A20" s="54"/>
      <c r="B20" s="93" t="s">
        <v>1100</v>
      </c>
      <c r="C20" s="76" t="s">
        <v>13</v>
      </c>
      <c r="D20" s="69">
        <f>(19.81+7.84-2*0.9)*1.01</f>
        <v>26.1085</v>
      </c>
      <c r="E20" s="40"/>
      <c r="F20" s="28"/>
    </row>
    <row r="21" spans="1:6" ht="12.75">
      <c r="A21" s="54"/>
      <c r="B21" s="44"/>
      <c r="C21" s="86" t="s">
        <v>13</v>
      </c>
      <c r="D21" s="94">
        <f>SUM(D18:D20)</f>
        <v>64.95309999999999</v>
      </c>
      <c r="E21" s="87"/>
      <c r="F21" s="88"/>
    </row>
    <row r="22" spans="1:6" ht="12.75">
      <c r="A22" s="54"/>
      <c r="B22" s="44"/>
      <c r="C22" s="27"/>
      <c r="D22" s="69"/>
      <c r="E22" s="40"/>
      <c r="F22" s="28"/>
    </row>
    <row r="23" spans="1:6" ht="12.75">
      <c r="A23" s="54"/>
      <c r="B23" s="67" t="s">
        <v>156</v>
      </c>
      <c r="C23" s="27"/>
      <c r="D23" s="69"/>
      <c r="E23" s="40"/>
      <c r="F23" s="28"/>
    </row>
    <row r="24" spans="1:6" ht="12.75">
      <c r="A24" s="54"/>
      <c r="B24" s="92" t="s">
        <v>449</v>
      </c>
      <c r="C24" s="27"/>
      <c r="D24" s="69"/>
      <c r="E24" s="40"/>
      <c r="F24" s="28"/>
    </row>
    <row r="25" spans="1:6" ht="12.75">
      <c r="A25" s="54"/>
      <c r="B25" s="44" t="s">
        <v>907</v>
      </c>
      <c r="C25" s="27" t="s">
        <v>11</v>
      </c>
      <c r="D25" s="69">
        <f>(9.45+12.72+16.11+9.05+6.7*2)*1.01</f>
        <v>61.3373</v>
      </c>
      <c r="E25" s="40"/>
      <c r="F25" s="28"/>
    </row>
    <row r="26" spans="1:6" ht="12.75">
      <c r="A26" s="54"/>
      <c r="B26" s="44" t="s">
        <v>1101</v>
      </c>
      <c r="C26" s="27" t="s">
        <v>11</v>
      </c>
      <c r="D26" s="69">
        <f>(2.93+8.1+9.2+9.09+9.3+3.36)*1.01</f>
        <v>42.3998</v>
      </c>
      <c r="E26" s="40"/>
      <c r="F26" s="28"/>
    </row>
    <row r="27" spans="1:6" ht="38.25">
      <c r="A27" s="54"/>
      <c r="B27" s="44" t="s">
        <v>1102</v>
      </c>
      <c r="C27" s="27" t="s">
        <v>11</v>
      </c>
      <c r="D27" s="69">
        <f>(12.26+12.12+14.43+13.92+4.77+8.77+8.5+3.41+10.36)*1.01</f>
        <v>89.4254</v>
      </c>
      <c r="E27" s="40"/>
      <c r="F27" s="28"/>
    </row>
    <row r="28" spans="1:6" ht="38.25">
      <c r="A28" s="54"/>
      <c r="B28" s="44" t="s">
        <v>1103</v>
      </c>
      <c r="C28" s="76" t="s">
        <v>11</v>
      </c>
      <c r="D28" s="85">
        <f>(7.07+12.19+10.45+9.62+3.25+8.52+8.51+3.38+16.47)*1.01</f>
        <v>80.2546</v>
      </c>
      <c r="E28" s="90"/>
      <c r="F28" s="91"/>
    </row>
    <row r="29" spans="1:6" ht="12.75">
      <c r="A29" s="54"/>
      <c r="B29" s="44"/>
      <c r="C29" s="27" t="s">
        <v>11</v>
      </c>
      <c r="D29" s="69">
        <f>SUM(D25:D28)</f>
        <v>273.4171</v>
      </c>
      <c r="E29" s="40"/>
      <c r="F29" s="28"/>
    </row>
    <row r="30" spans="1:6" ht="12.75">
      <c r="A30" s="54"/>
      <c r="B30" s="44"/>
      <c r="C30" s="27"/>
      <c r="D30" s="69"/>
      <c r="E30" s="40"/>
      <c r="F30" s="28"/>
    </row>
    <row r="31" spans="1:6" ht="12.75">
      <c r="A31" s="54"/>
      <c r="B31" s="67" t="s">
        <v>383</v>
      </c>
      <c r="C31" s="27"/>
      <c r="D31" s="69"/>
      <c r="E31" s="40"/>
      <c r="F31" s="28"/>
    </row>
    <row r="32" spans="1:6" ht="12.75">
      <c r="A32" s="54"/>
      <c r="B32" s="44" t="s">
        <v>384</v>
      </c>
      <c r="C32" s="27"/>
      <c r="D32" s="69"/>
      <c r="E32" s="40"/>
      <c r="F32" s="28"/>
    </row>
    <row r="33" spans="1:6" ht="12.75">
      <c r="A33" s="54"/>
      <c r="B33" s="44" t="s">
        <v>1104</v>
      </c>
      <c r="C33" s="27" t="s">
        <v>11</v>
      </c>
      <c r="D33" s="69">
        <f>(17.54+20.56+4.42)*1.01</f>
        <v>42.9452</v>
      </c>
      <c r="E33" s="40"/>
      <c r="F33" s="28"/>
    </row>
    <row r="34" spans="1:6" ht="12.75">
      <c r="A34" s="54"/>
      <c r="B34" s="44" t="s">
        <v>1105</v>
      </c>
      <c r="C34" s="27" t="s">
        <v>11</v>
      </c>
      <c r="D34" s="69">
        <f>5.94*1.01</f>
        <v>5.9994000000000005</v>
      </c>
      <c r="E34" s="40"/>
      <c r="F34" s="28"/>
    </row>
    <row r="35" spans="1:6" ht="12.75">
      <c r="A35" s="54"/>
      <c r="B35" s="44" t="s">
        <v>1106</v>
      </c>
      <c r="C35" s="76" t="s">
        <v>11</v>
      </c>
      <c r="D35" s="85">
        <f>7.58*1.01</f>
        <v>7.6558</v>
      </c>
      <c r="E35" s="90"/>
      <c r="F35" s="91"/>
    </row>
    <row r="36" spans="1:6" ht="12.75">
      <c r="A36" s="54"/>
      <c r="B36" s="44"/>
      <c r="C36" s="27" t="s">
        <v>11</v>
      </c>
      <c r="D36" s="69">
        <f>SUM(D32:D35)</f>
        <v>56.6004</v>
      </c>
      <c r="E36" s="40"/>
      <c r="F36" s="28"/>
    </row>
    <row r="37" spans="1:6" ht="12.75">
      <c r="A37" s="54"/>
      <c r="B37" s="44"/>
      <c r="C37" s="27"/>
      <c r="D37" s="69"/>
      <c r="E37" s="40"/>
      <c r="F37" s="28"/>
    </row>
    <row r="38" spans="1:6" ht="12.75">
      <c r="A38" s="54"/>
      <c r="B38" s="44" t="s">
        <v>57</v>
      </c>
      <c r="C38" s="27"/>
      <c r="D38" s="69"/>
      <c r="E38" s="40"/>
      <c r="F38" s="28"/>
    </row>
    <row r="39" spans="1:6" ht="12.75">
      <c r="A39" s="54"/>
      <c r="B39" s="44" t="s">
        <v>1107</v>
      </c>
      <c r="C39" s="27" t="s">
        <v>13</v>
      </c>
      <c r="D39" s="69">
        <f>(13.14-0.9)*1.01</f>
        <v>12.362400000000001</v>
      </c>
      <c r="E39" s="40"/>
      <c r="F39" s="28"/>
    </row>
    <row r="40" spans="1:6" ht="12.75">
      <c r="A40" s="54"/>
      <c r="B40" s="44" t="s">
        <v>1108</v>
      </c>
      <c r="C40" s="76" t="s">
        <v>13</v>
      </c>
      <c r="D40" s="69">
        <f>(16.32-0.9)*1.01</f>
        <v>15.5742</v>
      </c>
      <c r="E40" s="40"/>
      <c r="F40" s="28"/>
    </row>
    <row r="41" spans="1:6" ht="12.75">
      <c r="A41" s="54"/>
      <c r="B41" s="44"/>
      <c r="C41" s="86" t="s">
        <v>13</v>
      </c>
      <c r="D41" s="94">
        <f>SUM(D39:D40)</f>
        <v>27.9366</v>
      </c>
      <c r="E41" s="87"/>
      <c r="F41" s="88"/>
    </row>
    <row r="42" spans="1:6" ht="12.75">
      <c r="A42" s="54"/>
      <c r="B42" s="44"/>
      <c r="C42" s="27"/>
      <c r="D42" s="69"/>
      <c r="E42" s="40"/>
      <c r="F42" s="28"/>
    </row>
    <row r="43" spans="1:6" ht="12.75">
      <c r="A43" s="54"/>
      <c r="B43" s="67" t="s">
        <v>394</v>
      </c>
      <c r="C43" s="27"/>
      <c r="D43" s="69"/>
      <c r="E43" s="40"/>
      <c r="F43" s="28"/>
    </row>
    <row r="44" spans="1:6" ht="12.75">
      <c r="A44" s="54"/>
      <c r="B44" s="44" t="s">
        <v>450</v>
      </c>
      <c r="C44" s="27"/>
      <c r="D44" s="69"/>
      <c r="E44" s="40"/>
      <c r="F44" s="28"/>
    </row>
    <row r="45" spans="1:6" ht="38.25">
      <c r="A45" s="54"/>
      <c r="B45" s="44" t="s">
        <v>1109</v>
      </c>
      <c r="C45" s="27" t="s">
        <v>11</v>
      </c>
      <c r="D45" s="69">
        <v>60.28</v>
      </c>
      <c r="E45" s="40"/>
      <c r="F45" s="28"/>
    </row>
    <row r="46" spans="1:6" ht="12.75">
      <c r="A46" s="54"/>
      <c r="B46" s="44" t="s">
        <v>1070</v>
      </c>
      <c r="C46" s="27" t="s">
        <v>11</v>
      </c>
      <c r="D46" s="69">
        <v>34.72</v>
      </c>
      <c r="E46" s="40"/>
      <c r="F46" s="28"/>
    </row>
    <row r="47" spans="1:6" ht="12.75">
      <c r="A47" s="54"/>
      <c r="B47" s="44" t="s">
        <v>1071</v>
      </c>
      <c r="C47" s="27" t="s">
        <v>11</v>
      </c>
      <c r="D47" s="41">
        <v>34.44</v>
      </c>
      <c r="E47" s="40"/>
      <c r="F47" s="28"/>
    </row>
    <row r="48" spans="1:6" ht="12.75">
      <c r="A48" s="54"/>
      <c r="B48" s="44" t="s">
        <v>1072</v>
      </c>
      <c r="C48" s="76" t="s">
        <v>11</v>
      </c>
      <c r="D48" s="71">
        <v>35.12</v>
      </c>
      <c r="E48" s="90"/>
      <c r="F48" s="91"/>
    </row>
    <row r="49" spans="1:6" ht="12.75">
      <c r="A49" s="54"/>
      <c r="B49" s="44"/>
      <c r="C49" s="27" t="s">
        <v>11</v>
      </c>
      <c r="D49" s="69">
        <f>SUM(D45:D48)</f>
        <v>164.56</v>
      </c>
      <c r="E49" s="40"/>
      <c r="F49" s="28"/>
    </row>
    <row r="50" spans="1:6" ht="12.75">
      <c r="A50" s="54"/>
      <c r="B50" s="44"/>
      <c r="C50" s="27"/>
      <c r="D50" s="69"/>
      <c r="E50" s="40"/>
      <c r="F50" s="28"/>
    </row>
    <row r="51" spans="1:6" ht="12.75">
      <c r="A51" s="54"/>
      <c r="B51" s="44" t="s">
        <v>57</v>
      </c>
      <c r="C51" s="27"/>
      <c r="D51" s="69"/>
      <c r="E51" s="40"/>
      <c r="F51" s="28"/>
    </row>
    <row r="52" spans="1:6" ht="12.75">
      <c r="A52" s="54"/>
      <c r="B52" s="44" t="s">
        <v>1110</v>
      </c>
      <c r="C52" s="27" t="s">
        <v>13</v>
      </c>
      <c r="D52" s="69">
        <v>44.47</v>
      </c>
      <c r="E52" s="40"/>
      <c r="F52" s="28"/>
    </row>
    <row r="53" spans="1:6" ht="12.75">
      <c r="A53" s="54"/>
      <c r="B53" s="44" t="s">
        <v>1111</v>
      </c>
      <c r="C53" s="27" t="s">
        <v>13</v>
      </c>
      <c r="D53" s="69">
        <v>7.68</v>
      </c>
      <c r="E53" s="40"/>
      <c r="F53" s="28"/>
    </row>
    <row r="54" spans="1:6" ht="12.75">
      <c r="A54" s="54"/>
      <c r="B54" s="44" t="s">
        <v>1112</v>
      </c>
      <c r="C54" s="27" t="s">
        <v>13</v>
      </c>
      <c r="D54" s="69">
        <v>7.37</v>
      </c>
      <c r="E54" s="40"/>
      <c r="F54" s="28"/>
    </row>
    <row r="55" spans="1:6" ht="12.75">
      <c r="A55" s="54"/>
      <c r="B55" s="44" t="s">
        <v>1113</v>
      </c>
      <c r="C55" s="76" t="s">
        <v>13</v>
      </c>
      <c r="D55" s="69">
        <v>8.18</v>
      </c>
      <c r="E55" s="40"/>
      <c r="F55" s="28"/>
    </row>
    <row r="56" spans="1:6" ht="12.75">
      <c r="A56" s="54"/>
      <c r="B56" s="44"/>
      <c r="C56" s="86" t="s">
        <v>13</v>
      </c>
      <c r="D56" s="94">
        <f>SUM(D52:D55)</f>
        <v>67.69999999999999</v>
      </c>
      <c r="E56" s="87"/>
      <c r="F56" s="88"/>
    </row>
    <row r="57" spans="1:6" ht="12.75">
      <c r="A57" s="54"/>
      <c r="B57" s="44"/>
      <c r="C57" s="27"/>
      <c r="D57" s="69"/>
      <c r="E57" s="40"/>
      <c r="F57" s="28"/>
    </row>
    <row r="58" spans="1:6" ht="12.75">
      <c r="A58" s="54"/>
      <c r="B58" s="67" t="s">
        <v>395</v>
      </c>
      <c r="C58" s="27"/>
      <c r="D58" s="69"/>
      <c r="E58" s="40"/>
      <c r="F58" s="28"/>
    </row>
    <row r="59" spans="1:6" ht="89.25">
      <c r="A59" s="54"/>
      <c r="B59" s="145" t="s">
        <v>397</v>
      </c>
      <c r="C59" s="27"/>
      <c r="D59" s="69"/>
      <c r="E59" s="40"/>
      <c r="F59" s="28"/>
    </row>
    <row r="60" spans="1:6" ht="12.75">
      <c r="A60" s="54"/>
      <c r="B60" s="44" t="s">
        <v>447</v>
      </c>
      <c r="C60" s="27"/>
      <c r="D60" s="69"/>
      <c r="E60" s="40"/>
      <c r="F60" s="28"/>
    </row>
    <row r="61" spans="1:6" ht="12.75">
      <c r="A61" s="54"/>
      <c r="B61" s="44" t="s">
        <v>1114</v>
      </c>
      <c r="C61" s="27" t="s">
        <v>11</v>
      </c>
      <c r="D61" s="69">
        <v>256.9</v>
      </c>
      <c r="E61" s="40"/>
      <c r="F61" s="28"/>
    </row>
    <row r="62" spans="1:6" ht="12.75">
      <c r="A62" s="54"/>
      <c r="B62" s="44"/>
      <c r="C62" s="27"/>
      <c r="D62" s="69"/>
      <c r="E62" s="40"/>
      <c r="F62" s="28"/>
    </row>
    <row r="63" spans="1:6" ht="12.75">
      <c r="A63" s="54"/>
      <c r="B63" s="44" t="s">
        <v>57</v>
      </c>
      <c r="C63" s="27"/>
      <c r="D63" s="69"/>
      <c r="E63" s="40"/>
      <c r="F63" s="28"/>
    </row>
    <row r="64" spans="1:6" ht="12.75">
      <c r="A64" s="54"/>
      <c r="B64" s="44" t="s">
        <v>1115</v>
      </c>
      <c r="C64" s="27" t="s">
        <v>13</v>
      </c>
      <c r="D64" s="69">
        <v>49.19</v>
      </c>
      <c r="E64" s="40"/>
      <c r="F64" s="28"/>
    </row>
    <row r="65" spans="1:6" ht="12.75">
      <c r="A65" s="54"/>
      <c r="B65" s="44"/>
      <c r="C65" s="27"/>
      <c r="D65" s="69"/>
      <c r="E65" s="40"/>
      <c r="F65" s="28"/>
    </row>
    <row r="66" spans="1:6" ht="89.25">
      <c r="A66" s="58">
        <f>A8+1</f>
        <v>802</v>
      </c>
      <c r="B66" s="57" t="s">
        <v>401</v>
      </c>
      <c r="C66" s="65"/>
      <c r="D66" s="27"/>
      <c r="E66" s="40"/>
      <c r="F66" s="28"/>
    </row>
    <row r="67" spans="1:6" ht="25.5">
      <c r="A67" s="58"/>
      <c r="B67" s="57" t="s">
        <v>106</v>
      </c>
      <c r="C67" s="65"/>
      <c r="D67" s="27"/>
      <c r="E67" s="40"/>
      <c r="F67" s="28"/>
    </row>
    <row r="68" spans="1:6" ht="25.5">
      <c r="A68" s="54"/>
      <c r="B68" s="57" t="s">
        <v>107</v>
      </c>
      <c r="C68" s="65"/>
      <c r="D68" s="27"/>
      <c r="E68" s="30"/>
      <c r="F68" s="30"/>
    </row>
    <row r="69" spans="1:2" ht="12.75">
      <c r="A69" s="54"/>
      <c r="B69" s="67" t="s">
        <v>286</v>
      </c>
    </row>
    <row r="70" spans="1:4" ht="12.75">
      <c r="A70" s="54"/>
      <c r="B70" s="92" t="s">
        <v>58</v>
      </c>
      <c r="C70" s="27"/>
      <c r="D70" s="41"/>
    </row>
    <row r="71" spans="1:4" ht="25.5">
      <c r="A71" s="54"/>
      <c r="B71" s="93" t="s">
        <v>915</v>
      </c>
      <c r="C71" s="27" t="s">
        <v>11</v>
      </c>
      <c r="D71" s="41">
        <f>(51.9+29.94+18.27+93.65+5.91+16.57+18)*1.01</f>
        <v>236.58239999999998</v>
      </c>
    </row>
    <row r="72" spans="1:4" ht="12.75">
      <c r="A72" s="54"/>
      <c r="B72" s="92" t="s">
        <v>62</v>
      </c>
      <c r="C72" s="27"/>
      <c r="D72" s="72"/>
    </row>
    <row r="73" spans="1:6" ht="12.75">
      <c r="A73" s="54"/>
      <c r="B73" s="93" t="s">
        <v>1116</v>
      </c>
      <c r="C73" s="27" t="s">
        <v>11</v>
      </c>
      <c r="D73" s="72">
        <f>(159.55+16.52+15.68+16.24)*1.01</f>
        <v>210.06990000000005</v>
      </c>
      <c r="E73" s="3"/>
      <c r="F73" s="3"/>
    </row>
    <row r="74" spans="1:4" ht="12.75">
      <c r="A74" s="54"/>
      <c r="B74" s="92" t="s">
        <v>65</v>
      </c>
      <c r="C74" s="27"/>
      <c r="D74" s="72"/>
    </row>
    <row r="75" spans="1:6" ht="12.75">
      <c r="A75" s="54"/>
      <c r="B75" s="93" t="s">
        <v>894</v>
      </c>
      <c r="C75" s="76" t="s">
        <v>11</v>
      </c>
      <c r="D75" s="71">
        <f>(16.55+89.71+16.43+16.98)*1.01</f>
        <v>141.0667</v>
      </c>
      <c r="E75" s="4"/>
      <c r="F75" s="4"/>
    </row>
    <row r="76" spans="1:6" ht="12.75">
      <c r="A76" s="54"/>
      <c r="C76" s="27" t="s">
        <v>11</v>
      </c>
      <c r="D76" s="69">
        <f>SUM(D70:D75)</f>
        <v>587.719</v>
      </c>
      <c r="E76" s="40"/>
      <c r="F76" s="28"/>
    </row>
    <row r="77" spans="1:6" ht="12.75">
      <c r="A77" s="54"/>
      <c r="B77" s="44" t="s">
        <v>57</v>
      </c>
      <c r="C77" s="2"/>
      <c r="D77" s="27"/>
      <c r="E77" s="40"/>
      <c r="F77" s="28"/>
    </row>
    <row r="78" spans="1:6" ht="38.25">
      <c r="A78" s="54"/>
      <c r="B78" s="93" t="s">
        <v>1117</v>
      </c>
      <c r="C78" s="27" t="s">
        <v>13</v>
      </c>
      <c r="D78" s="69">
        <f>(31.29+34.42+26.28+96.39+11+16.7+18-(2.17+2.68+5*1.58+3.02*2+33*0.9+2*0.8+3.18*2+1.85+1+1.1+1.2))*1.01</f>
        <v>174.20479999999998</v>
      </c>
      <c r="E78" s="40"/>
      <c r="F78" s="28"/>
    </row>
    <row r="79" spans="1:6" ht="12.75">
      <c r="A79" s="54"/>
      <c r="B79" s="93" t="s">
        <v>1100</v>
      </c>
      <c r="C79" s="27" t="s">
        <v>13</v>
      </c>
      <c r="D79" s="69">
        <f>(19.81+7.84-2*0.9)*1.01</f>
        <v>26.1085</v>
      </c>
      <c r="E79" s="40"/>
      <c r="F79" s="28"/>
    </row>
    <row r="80" spans="1:6" ht="25.5">
      <c r="A80" s="54"/>
      <c r="B80" s="93" t="s">
        <v>1118</v>
      </c>
      <c r="C80" s="27" t="s">
        <v>13</v>
      </c>
      <c r="D80" s="69">
        <f>(16.69+81.56+17.2+17.39-(2*0.9+3*1.1+1.2+2*1.6+4*1.95+2*1.65))*1.01</f>
        <v>113.36240000000001</v>
      </c>
      <c r="E80" s="40"/>
      <c r="F80" s="28"/>
    </row>
    <row r="81" spans="1:6" ht="12.75">
      <c r="A81" s="54"/>
      <c r="B81" s="44"/>
      <c r="C81" s="86" t="s">
        <v>13</v>
      </c>
      <c r="D81" s="94">
        <f>SUM(D78:D80)</f>
        <v>313.6757</v>
      </c>
      <c r="E81" s="87"/>
      <c r="F81" s="88"/>
    </row>
    <row r="82" spans="1:6" ht="12.75">
      <c r="A82" s="54"/>
      <c r="B82" s="44"/>
      <c r="C82" s="27"/>
      <c r="D82" s="69"/>
      <c r="E82" s="40"/>
      <c r="F82" s="28"/>
    </row>
    <row r="83" spans="1:6" ht="12.75">
      <c r="A83" s="54"/>
      <c r="B83" s="67" t="s">
        <v>156</v>
      </c>
      <c r="C83" s="27"/>
      <c r="D83" s="69"/>
      <c r="E83" s="40"/>
      <c r="F83" s="28"/>
    </row>
    <row r="84" spans="1:6" ht="12.75">
      <c r="A84" s="54"/>
      <c r="B84" s="92" t="s">
        <v>185</v>
      </c>
      <c r="C84" s="27"/>
      <c r="D84" s="69"/>
      <c r="E84" s="40"/>
      <c r="F84" s="28"/>
    </row>
    <row r="85" spans="1:6" s="200" customFormat="1" ht="11.25">
      <c r="A85" s="203"/>
      <c r="C85" s="195"/>
      <c r="D85" s="204"/>
      <c r="E85" s="197"/>
      <c r="F85" s="198"/>
    </row>
    <row r="86" spans="1:6" ht="12.75">
      <c r="A86" s="54"/>
      <c r="B86" s="44" t="s">
        <v>917</v>
      </c>
      <c r="C86" s="27" t="s">
        <v>11</v>
      </c>
      <c r="D86" s="69">
        <f>13.52*1.01</f>
        <v>13.655199999999999</v>
      </c>
      <c r="E86" s="40"/>
      <c r="F86" s="28"/>
    </row>
    <row r="87" spans="1:6" ht="12.75">
      <c r="A87" s="54"/>
      <c r="B87" s="44" t="s">
        <v>1119</v>
      </c>
      <c r="C87" s="27" t="s">
        <v>11</v>
      </c>
      <c r="D87" s="69">
        <f>(111.31+20.67+51.42+113.12)*1.01</f>
        <v>299.4852</v>
      </c>
      <c r="E87" s="40"/>
      <c r="F87" s="28"/>
    </row>
    <row r="88" spans="1:6" ht="12.75">
      <c r="A88" s="54"/>
      <c r="B88" s="44" t="s">
        <v>899</v>
      </c>
      <c r="C88" s="27" t="s">
        <v>11</v>
      </c>
      <c r="D88" s="72">
        <f>(61.61+45.95+136.99+65.68)*1.01</f>
        <v>313.33230000000003</v>
      </c>
      <c r="E88" s="40"/>
      <c r="F88" s="28"/>
    </row>
    <row r="89" spans="1:6" ht="12.75">
      <c r="A89" s="54"/>
      <c r="B89" s="44" t="s">
        <v>900</v>
      </c>
      <c r="C89" s="76" t="s">
        <v>11</v>
      </c>
      <c r="D89" s="71">
        <f>(53.17+169.41+159.75)*1.01</f>
        <v>386.1533</v>
      </c>
      <c r="E89" s="90"/>
      <c r="F89" s="91"/>
    </row>
    <row r="90" spans="1:6" ht="12.75">
      <c r="A90" s="54"/>
      <c r="B90" s="44"/>
      <c r="C90" s="27" t="s">
        <v>11</v>
      </c>
      <c r="D90" s="69">
        <f>SUM(D83:D89)</f>
        <v>1012.626</v>
      </c>
      <c r="E90" s="40"/>
      <c r="F90" s="28"/>
    </row>
    <row r="91" spans="1:6" ht="12.75">
      <c r="A91" s="54"/>
      <c r="B91" s="44"/>
      <c r="C91" s="27"/>
      <c r="D91" s="69"/>
      <c r="E91" s="40"/>
      <c r="F91" s="28"/>
    </row>
    <row r="92" spans="1:6" ht="12.75">
      <c r="A92" s="54"/>
      <c r="B92" s="44" t="s">
        <v>57</v>
      </c>
      <c r="C92" s="2"/>
      <c r="D92" s="27"/>
      <c r="E92" s="40"/>
      <c r="F92" s="28"/>
    </row>
    <row r="93" spans="1:6" ht="12.75">
      <c r="A93" s="54"/>
      <c r="B93" s="2" t="s">
        <v>1120</v>
      </c>
      <c r="C93" s="27" t="s">
        <v>13</v>
      </c>
      <c r="D93" s="69">
        <f>(15.7-0.9)*1.01</f>
        <v>14.947999999999999</v>
      </c>
      <c r="E93" s="40"/>
      <c r="F93" s="28"/>
    </row>
    <row r="94" spans="1:6" ht="25.5">
      <c r="A94" s="54"/>
      <c r="B94" s="93" t="s">
        <v>1121</v>
      </c>
      <c r="C94" s="27" t="s">
        <v>13</v>
      </c>
      <c r="D94" s="69">
        <f>(71.41+54.8+96.88-5.32-5.37-1.6*10-1.8*4-5.45*2-1*13)*1.01</f>
        <v>166.95299999999997</v>
      </c>
      <c r="E94" s="40"/>
      <c r="F94" s="28"/>
    </row>
    <row r="95" spans="1:6" ht="25.5">
      <c r="A95" s="54"/>
      <c r="B95" s="93" t="s">
        <v>1122</v>
      </c>
      <c r="C95" s="27" t="s">
        <v>13</v>
      </c>
      <c r="D95" s="69">
        <f>(45.84+46.33+70.11+143.11-0.9*31-1.2*1.2*16-1.1*2-1.6*1-3.05*4-3.25*2-1.95*2-2*4)*1.01</f>
        <v>222.25050000000005</v>
      </c>
      <c r="E95" s="40"/>
      <c r="F95" s="28"/>
    </row>
    <row r="96" spans="1:6" ht="25.5">
      <c r="A96" s="54"/>
      <c r="B96" s="93" t="s">
        <v>1123</v>
      </c>
      <c r="C96" s="27" t="s">
        <v>13</v>
      </c>
      <c r="D96" s="69">
        <f>(43.27+135.36+149.36-0.9*28-1.2*13-2*2-1.95*2-3.05*4)*1.01</f>
        <v>269.76090000000005</v>
      </c>
      <c r="E96" s="40"/>
      <c r="F96" s="28"/>
    </row>
    <row r="97" spans="1:6" ht="12.75">
      <c r="A97" s="54"/>
      <c r="B97" s="44"/>
      <c r="C97" s="86" t="s">
        <v>13</v>
      </c>
      <c r="D97" s="94">
        <f>SUM(D93:D96)</f>
        <v>673.9124000000002</v>
      </c>
      <c r="E97" s="87"/>
      <c r="F97" s="88"/>
    </row>
    <row r="98" spans="1:6" ht="12.75">
      <c r="A98" s="54"/>
      <c r="B98" s="44"/>
      <c r="C98" s="27"/>
      <c r="D98" s="69"/>
      <c r="E98" s="40"/>
      <c r="F98" s="28"/>
    </row>
    <row r="99" spans="1:6" ht="12.75">
      <c r="A99" s="54"/>
      <c r="B99" s="67" t="s">
        <v>302</v>
      </c>
      <c r="C99" s="27"/>
      <c r="D99" s="69"/>
      <c r="E99" s="40"/>
      <c r="F99" s="28"/>
    </row>
    <row r="100" spans="1:6" ht="12.75">
      <c r="A100" s="54"/>
      <c r="B100" s="44" t="s">
        <v>1124</v>
      </c>
      <c r="C100" s="27" t="s">
        <v>11</v>
      </c>
      <c r="D100" s="69">
        <v>141.32</v>
      </c>
      <c r="E100" s="40"/>
      <c r="F100" s="28"/>
    </row>
    <row r="101" spans="1:6" ht="12.75">
      <c r="A101" s="54"/>
      <c r="B101" s="44" t="s">
        <v>1125</v>
      </c>
      <c r="C101" s="27" t="s">
        <v>11</v>
      </c>
      <c r="D101" s="69">
        <v>109.09</v>
      </c>
      <c r="E101" s="40"/>
      <c r="F101" s="28"/>
    </row>
    <row r="102" spans="1:6" ht="12.75">
      <c r="A102" s="54"/>
      <c r="B102" s="44" t="s">
        <v>1126</v>
      </c>
      <c r="C102" s="27" t="s">
        <v>11</v>
      </c>
      <c r="D102" s="72">
        <v>389.71</v>
      </c>
      <c r="E102" s="40"/>
      <c r="F102" s="28"/>
    </row>
    <row r="103" spans="1:6" ht="12.75">
      <c r="A103" s="54"/>
      <c r="B103" s="44" t="s">
        <v>1127</v>
      </c>
      <c r="C103" s="76" t="s">
        <v>11</v>
      </c>
      <c r="D103" s="71">
        <v>252.1</v>
      </c>
      <c r="E103" s="90"/>
      <c r="F103" s="91"/>
    </row>
    <row r="104" spans="1:6" ht="12.75">
      <c r="A104" s="54"/>
      <c r="B104" s="44"/>
      <c r="C104" s="27" t="s">
        <v>11</v>
      </c>
      <c r="D104" s="69">
        <f>SUM(D100:D103)</f>
        <v>892.22</v>
      </c>
      <c r="E104" s="40"/>
      <c r="F104" s="28"/>
    </row>
    <row r="105" spans="1:6" ht="12.75">
      <c r="A105" s="54"/>
      <c r="B105" s="44"/>
      <c r="C105" s="27"/>
      <c r="D105" s="69"/>
      <c r="E105" s="40"/>
      <c r="F105" s="28"/>
    </row>
    <row r="106" spans="1:6" ht="12.75">
      <c r="A106" s="54"/>
      <c r="B106" s="44" t="s">
        <v>57</v>
      </c>
      <c r="C106" s="2"/>
      <c r="D106" s="27"/>
      <c r="E106" s="40"/>
      <c r="F106" s="28"/>
    </row>
    <row r="107" spans="1:6" ht="25.5">
      <c r="A107" s="54"/>
      <c r="B107" s="313" t="s">
        <v>1128</v>
      </c>
      <c r="C107" s="27" t="s">
        <v>13</v>
      </c>
      <c r="D107" s="69">
        <f>(18.96+57.4+25.16-2-2.1-2.6-5.6*2-1.6*2-1*2+18.2)*1.1</f>
        <v>106.28200000000001</v>
      </c>
      <c r="E107" s="40"/>
      <c r="F107" s="28"/>
    </row>
    <row r="108" spans="1:7" ht="12.75">
      <c r="A108" s="54"/>
      <c r="B108" s="93" t="s">
        <v>1129</v>
      </c>
      <c r="C108" s="27" t="s">
        <v>13</v>
      </c>
      <c r="D108" s="69">
        <f>155.07+28.28+210.62</f>
        <v>393.97</v>
      </c>
      <c r="E108" s="40"/>
      <c r="F108" s="28"/>
      <c r="G108" s="41"/>
    </row>
    <row r="109" spans="1:6" ht="12.75">
      <c r="A109" s="54"/>
      <c r="B109" s="93" t="s">
        <v>1130</v>
      </c>
      <c r="C109" s="27" t="s">
        <v>13</v>
      </c>
      <c r="D109" s="69">
        <v>141.63</v>
      </c>
      <c r="E109" s="40"/>
      <c r="F109" s="28"/>
    </row>
    <row r="110" spans="1:6" ht="12.75">
      <c r="A110" s="54"/>
      <c r="B110" s="93" t="s">
        <v>1131</v>
      </c>
      <c r="C110" s="27" t="s">
        <v>13</v>
      </c>
      <c r="D110" s="69">
        <f>195.66+18.5-3.08*4-1.6*3-1*9-0.9*13</f>
        <v>176.34</v>
      </c>
      <c r="E110" s="40"/>
      <c r="F110" s="28"/>
    </row>
    <row r="111" spans="1:6" ht="12.75">
      <c r="A111" s="54"/>
      <c r="B111" s="44"/>
      <c r="C111" s="86" t="s">
        <v>13</v>
      </c>
      <c r="D111" s="94">
        <f>SUM(D107:D110)</f>
        <v>818.2220000000001</v>
      </c>
      <c r="E111" s="87"/>
      <c r="F111" s="88"/>
    </row>
    <row r="112" spans="1:6" ht="12.75">
      <c r="A112" s="54"/>
      <c r="B112" s="44"/>
      <c r="C112" s="27"/>
      <c r="D112" s="69"/>
      <c r="E112" s="40"/>
      <c r="F112" s="28"/>
    </row>
    <row r="113" spans="1:6" ht="114.75">
      <c r="A113" s="73">
        <f>A66+1</f>
        <v>803</v>
      </c>
      <c r="B113" s="57" t="s">
        <v>385</v>
      </c>
      <c r="C113" s="27"/>
      <c r="D113" s="69"/>
      <c r="E113" s="40"/>
      <c r="F113" s="28"/>
    </row>
    <row r="114" spans="1:6" ht="25.5">
      <c r="A114" s="54"/>
      <c r="B114" s="44" t="s">
        <v>382</v>
      </c>
      <c r="C114" s="27"/>
      <c r="D114" s="69"/>
      <c r="E114" s="40"/>
      <c r="F114" s="28"/>
    </row>
    <row r="115" spans="1:6" ht="25.5">
      <c r="A115" s="54"/>
      <c r="B115" s="44" t="s">
        <v>386</v>
      </c>
      <c r="C115" s="27"/>
      <c r="D115" s="69"/>
      <c r="E115" s="40"/>
      <c r="F115" s="28"/>
    </row>
    <row r="116" spans="1:6" ht="12.75">
      <c r="A116" s="54"/>
      <c r="B116" s="44" t="s">
        <v>34</v>
      </c>
      <c r="C116" s="27"/>
      <c r="D116" s="69"/>
      <c r="E116" s="40"/>
      <c r="F116" s="28"/>
    </row>
    <row r="117" spans="1:6" ht="12.75">
      <c r="A117" s="54"/>
      <c r="B117" s="67" t="s">
        <v>174</v>
      </c>
      <c r="C117" s="27"/>
      <c r="D117" s="69"/>
      <c r="E117" s="40"/>
      <c r="F117" s="28"/>
    </row>
    <row r="118" spans="1:6" ht="12.75">
      <c r="A118" s="54"/>
      <c r="B118" s="92" t="s">
        <v>1132</v>
      </c>
      <c r="C118" s="27" t="s">
        <v>175</v>
      </c>
      <c r="D118" s="69">
        <f>33.5*1.01</f>
        <v>33.835</v>
      </c>
      <c r="E118" s="40"/>
      <c r="F118" s="28"/>
    </row>
    <row r="119" spans="1:6" ht="12.75">
      <c r="A119" s="54"/>
      <c r="B119" s="92"/>
      <c r="C119" s="27"/>
      <c r="D119" s="69"/>
      <c r="E119" s="40"/>
      <c r="F119" s="28"/>
    </row>
    <row r="120" spans="1:2" ht="89.25">
      <c r="A120" s="58">
        <f>A113+1</f>
        <v>804</v>
      </c>
      <c r="B120" s="57" t="s">
        <v>451</v>
      </c>
    </row>
    <row r="121" spans="1:2" ht="25.5">
      <c r="A121" s="58"/>
      <c r="B121" s="57" t="s">
        <v>106</v>
      </c>
    </row>
    <row r="122" spans="1:6" ht="12.75">
      <c r="A122" s="58"/>
      <c r="B122" s="67" t="s">
        <v>1133</v>
      </c>
      <c r="C122" s="27" t="s">
        <v>11</v>
      </c>
      <c r="D122" s="41">
        <f>31+33.3</f>
        <v>64.3</v>
      </c>
      <c r="E122" s="40"/>
      <c r="F122" s="28"/>
    </row>
    <row r="123" spans="1:6" ht="12.75">
      <c r="A123" s="54"/>
      <c r="B123" s="29"/>
      <c r="C123" s="65"/>
      <c r="D123" s="27"/>
      <c r="E123" s="40"/>
      <c r="F123" s="28"/>
    </row>
    <row r="124" spans="1:6" ht="159" customHeight="1">
      <c r="A124" s="58">
        <f>A120+1</f>
        <v>805</v>
      </c>
      <c r="B124" s="57" t="s">
        <v>452</v>
      </c>
      <c r="C124" s="27"/>
      <c r="D124" s="69"/>
      <c r="E124" s="40"/>
      <c r="F124" s="28"/>
    </row>
    <row r="125" spans="1:6" ht="25.5">
      <c r="A125" s="58"/>
      <c r="B125" s="57" t="s">
        <v>106</v>
      </c>
      <c r="C125" s="27"/>
      <c r="D125" s="69"/>
      <c r="E125" s="40"/>
      <c r="F125" s="28"/>
    </row>
    <row r="126" spans="1:6" ht="25.5">
      <c r="A126" s="55"/>
      <c r="B126" s="57" t="s">
        <v>107</v>
      </c>
      <c r="C126" s="27"/>
      <c r="D126" s="69"/>
      <c r="E126" s="40"/>
      <c r="F126" s="28"/>
    </row>
    <row r="127" spans="1:6" ht="12.75">
      <c r="A127" s="55"/>
      <c r="B127" s="92" t="s">
        <v>183</v>
      </c>
      <c r="C127" s="27"/>
      <c r="D127" s="69"/>
      <c r="E127" s="40"/>
      <c r="F127" s="28"/>
    </row>
    <row r="128" spans="1:2" ht="12.75">
      <c r="A128" s="54"/>
      <c r="B128" s="67" t="s">
        <v>286</v>
      </c>
    </row>
    <row r="129" spans="1:6" ht="12.75">
      <c r="A129" s="55"/>
      <c r="B129" s="29" t="s">
        <v>1134</v>
      </c>
      <c r="C129" s="27" t="s">
        <v>11</v>
      </c>
      <c r="D129" s="69">
        <f>3*(1.65+2*1.95+3*1.35)*1.01</f>
        <v>29.088000000000005</v>
      </c>
      <c r="E129" s="40"/>
      <c r="F129" s="28"/>
    </row>
    <row r="130" spans="1:6" ht="12.75">
      <c r="A130" s="55"/>
      <c r="B130" s="29" t="s">
        <v>1135</v>
      </c>
      <c r="C130" s="27" t="s">
        <v>11</v>
      </c>
      <c r="D130" s="69">
        <f>1.4*0.3*(2*11+2*6+2*7)*1.01</f>
        <v>20.3616</v>
      </c>
      <c r="E130" s="40"/>
      <c r="F130" s="28"/>
    </row>
    <row r="131" spans="1:6" ht="12.75">
      <c r="A131" s="55"/>
      <c r="B131" s="29" t="s">
        <v>1136</v>
      </c>
      <c r="C131" s="27" t="s">
        <v>11</v>
      </c>
      <c r="D131" s="69">
        <f>1.4*0.1667*(2*12+2*7+2*8)*1.01</f>
        <v>12.7285452</v>
      </c>
      <c r="E131" s="40"/>
      <c r="F131" s="28"/>
    </row>
    <row r="132" spans="1:6" ht="12.75">
      <c r="A132" s="55"/>
      <c r="B132" s="29" t="s">
        <v>1137</v>
      </c>
      <c r="C132" s="27" t="s">
        <v>13</v>
      </c>
      <c r="D132" s="69">
        <f>(0.3*48+0.1667*46)*1.1</f>
        <v>24.275019999999998</v>
      </c>
      <c r="E132" s="40"/>
      <c r="F132" s="28"/>
    </row>
    <row r="133" spans="1:6" ht="25.5">
      <c r="A133" s="55"/>
      <c r="B133" s="29" t="s">
        <v>1138</v>
      </c>
      <c r="C133" s="27" t="s">
        <v>13</v>
      </c>
      <c r="D133" s="69">
        <f>(2*(6.6+6.9+5.7)-2*1.1)*1.01</f>
        <v>36.562</v>
      </c>
      <c r="E133" s="40"/>
      <c r="F133" s="28"/>
    </row>
    <row r="134" spans="1:6" ht="12.75">
      <c r="A134" s="55"/>
      <c r="B134" s="29"/>
      <c r="C134" s="27"/>
      <c r="D134" s="69"/>
      <c r="E134" s="40"/>
      <c r="F134" s="28"/>
    </row>
    <row r="135" spans="1:6" ht="12.75">
      <c r="A135" s="55"/>
      <c r="B135" s="187" t="s">
        <v>156</v>
      </c>
      <c r="C135" s="27"/>
      <c r="D135" s="69"/>
      <c r="E135" s="40"/>
      <c r="F135" s="28"/>
    </row>
    <row r="136" spans="1:6" s="200" customFormat="1" ht="11.25">
      <c r="A136" s="203"/>
      <c r="C136" s="195"/>
      <c r="D136" s="199"/>
      <c r="E136" s="335"/>
      <c r="F136" s="335"/>
    </row>
    <row r="137" spans="1:6" ht="25.5">
      <c r="A137" s="55"/>
      <c r="B137" s="202" t="s">
        <v>1291</v>
      </c>
      <c r="C137" s="27" t="s">
        <v>11</v>
      </c>
      <c r="D137" s="69">
        <f>(3.32+4+3.7+3.32*4+3.7*2+3.42*4+4.1*2)*1.01</f>
        <v>54.1158</v>
      </c>
      <c r="E137" s="40"/>
      <c r="F137" s="28"/>
    </row>
    <row r="138" spans="1:6" ht="12.75">
      <c r="A138" s="55"/>
      <c r="B138" s="29" t="s">
        <v>1139</v>
      </c>
      <c r="C138" s="27" t="s">
        <v>11</v>
      </c>
      <c r="D138" s="69">
        <f>(0.3*1.18*(9*3+8*2)*2+0.3*1.18*8*3)*1.01</f>
        <v>39.3294</v>
      </c>
      <c r="E138" s="40"/>
      <c r="F138" s="28"/>
    </row>
    <row r="139" spans="1:6" ht="25.5">
      <c r="A139" s="55"/>
      <c r="B139" s="29" t="s">
        <v>1140</v>
      </c>
      <c r="C139" s="27" t="s">
        <v>11</v>
      </c>
      <c r="D139" s="69">
        <f>(1.18*(10*0.17*3+8*0.17*3)*2+1.18*(9*0.15*3))*1.01</f>
        <v>26.708238</v>
      </c>
      <c r="E139" s="40"/>
      <c r="F139" s="28"/>
    </row>
    <row r="140" spans="1:6" ht="25.5">
      <c r="A140" s="55"/>
      <c r="B140" s="29" t="s">
        <v>1141</v>
      </c>
      <c r="C140" s="27" t="s">
        <v>13</v>
      </c>
      <c r="D140" s="69">
        <f>(3.75*3+(4.35+4.65+5.8+4.05+3.55)*2)*1.01</f>
        <v>56.6105</v>
      </c>
      <c r="E140" s="40"/>
      <c r="F140" s="28"/>
    </row>
    <row r="141" spans="1:6" ht="25.5">
      <c r="A141" s="55"/>
      <c r="B141" s="29" t="s">
        <v>1142</v>
      </c>
      <c r="C141" s="27" t="s">
        <v>13</v>
      </c>
      <c r="D141" s="69">
        <f>(7.7-2.55+8.3-2.55+(5.45-0.9+1.2*4+1.4*4+2.55*6+1.5*4)*2)*1.01</f>
        <v>84.23400000000001</v>
      </c>
      <c r="E141" s="40"/>
      <c r="F141" s="28"/>
    </row>
    <row r="142" spans="1:6" ht="12.75">
      <c r="A142" s="55"/>
      <c r="B142" s="29"/>
      <c r="C142" s="27"/>
      <c r="D142" s="69"/>
      <c r="E142" s="40"/>
      <c r="F142" s="28"/>
    </row>
    <row r="143" spans="1:6" ht="12.75">
      <c r="A143" s="55"/>
      <c r="B143" s="210" t="s">
        <v>302</v>
      </c>
      <c r="C143" s="27"/>
      <c r="D143" s="69"/>
      <c r="E143" s="40"/>
      <c r="F143" s="28"/>
    </row>
    <row r="144" spans="1:6" ht="25.5">
      <c r="A144" s="55"/>
      <c r="B144" s="202" t="s">
        <v>1460</v>
      </c>
      <c r="C144" s="27" t="s">
        <v>11</v>
      </c>
      <c r="D144" s="69">
        <v>92.9</v>
      </c>
      <c r="E144" s="40"/>
      <c r="F144" s="28"/>
    </row>
    <row r="145" spans="1:6" ht="25.5">
      <c r="A145" s="55"/>
      <c r="B145" s="29" t="s">
        <v>1143</v>
      </c>
      <c r="C145" s="27" t="s">
        <v>11</v>
      </c>
      <c r="D145" s="69">
        <v>56.72</v>
      </c>
      <c r="E145" s="40"/>
      <c r="F145" s="28"/>
    </row>
    <row r="146" spans="1:6" ht="25.5">
      <c r="A146" s="55"/>
      <c r="B146" s="29" t="s">
        <v>1144</v>
      </c>
      <c r="C146" s="27" t="s">
        <v>11</v>
      </c>
      <c r="D146" s="69">
        <v>80.93</v>
      </c>
      <c r="E146" s="40"/>
      <c r="F146" s="28"/>
    </row>
    <row r="147" spans="1:6" ht="25.5">
      <c r="A147" s="55"/>
      <c r="B147" s="29" t="s">
        <v>1145</v>
      </c>
      <c r="C147" s="27" t="s">
        <v>13</v>
      </c>
      <c r="D147" s="69">
        <v>61.05</v>
      </c>
      <c r="E147" s="40"/>
      <c r="F147" s="28"/>
    </row>
    <row r="148" spans="1:6" ht="38.25">
      <c r="A148" s="55"/>
      <c r="B148" s="29" t="s">
        <v>1146</v>
      </c>
      <c r="C148" s="27" t="s">
        <v>13</v>
      </c>
      <c r="D148" s="69">
        <v>106.15</v>
      </c>
      <c r="E148" s="40"/>
      <c r="F148" s="28"/>
    </row>
    <row r="149" spans="1:6" ht="12.75">
      <c r="A149" s="55"/>
      <c r="B149" s="29"/>
      <c r="C149" s="27"/>
      <c r="D149" s="27"/>
      <c r="E149" s="28"/>
      <c r="F149" s="28"/>
    </row>
    <row r="150" spans="1:6" ht="114.75">
      <c r="A150" s="55">
        <f>A124+1</f>
        <v>806</v>
      </c>
      <c r="B150" s="7" t="s">
        <v>158</v>
      </c>
      <c r="C150" s="27"/>
      <c r="D150" s="27"/>
      <c r="E150" s="28"/>
      <c r="F150" s="28"/>
    </row>
    <row r="151" spans="1:6" ht="25.5">
      <c r="A151" s="55"/>
      <c r="B151" s="57" t="s">
        <v>106</v>
      </c>
      <c r="C151" s="27"/>
      <c r="D151" s="27"/>
      <c r="E151" s="28"/>
      <c r="F151" s="28"/>
    </row>
    <row r="152" spans="1:6" ht="12.75">
      <c r="A152" s="55"/>
      <c r="B152" s="57" t="s">
        <v>108</v>
      </c>
      <c r="C152" s="27"/>
      <c r="D152" s="27"/>
      <c r="E152" s="28"/>
      <c r="F152" s="28"/>
    </row>
    <row r="153" spans="1:6" ht="12.75">
      <c r="A153" s="73" t="s">
        <v>19</v>
      </c>
      <c r="B153" s="67" t="s">
        <v>287</v>
      </c>
      <c r="C153" s="27"/>
      <c r="D153" s="27"/>
      <c r="E153" s="28"/>
      <c r="F153" s="28"/>
    </row>
    <row r="154" spans="1:6" ht="25.5">
      <c r="A154" s="73"/>
      <c r="B154" s="29" t="s">
        <v>1147</v>
      </c>
      <c r="C154" s="27" t="s">
        <v>11</v>
      </c>
      <c r="D154" s="69">
        <f>(2.2*(13+7.1*2+12.9)-0.9*2.15*2-0.8*2.15*2)*1.01</f>
        <v>81.71910000000001</v>
      </c>
      <c r="E154" s="28"/>
      <c r="F154" s="28"/>
    </row>
    <row r="155" spans="1:6" ht="12.75">
      <c r="A155" s="73"/>
      <c r="B155" s="153" t="s">
        <v>1148</v>
      </c>
      <c r="C155" s="27" t="s">
        <v>11</v>
      </c>
      <c r="D155" s="69">
        <f>(2.2*(12.9+13)-0.9*2.15*2)*1.01</f>
        <v>53.64110000000001</v>
      </c>
      <c r="E155" s="28"/>
      <c r="F155" s="28"/>
    </row>
    <row r="156" spans="1:6" ht="12.75" hidden="1">
      <c r="A156" s="73"/>
      <c r="B156" s="153" t="s">
        <v>20</v>
      </c>
      <c r="C156" s="76" t="s">
        <v>11</v>
      </c>
      <c r="D156" s="85">
        <v>0</v>
      </c>
      <c r="E156" s="90"/>
      <c r="F156" s="91"/>
    </row>
    <row r="157" spans="1:6" ht="12.75">
      <c r="A157" s="73"/>
      <c r="B157" s="27"/>
      <c r="C157" s="86" t="s">
        <v>11</v>
      </c>
      <c r="D157" s="94">
        <f>SUM(D154:D156)</f>
        <v>135.36020000000002</v>
      </c>
      <c r="E157" s="87"/>
      <c r="F157" s="88"/>
    </row>
    <row r="158" spans="1:6" ht="12.75">
      <c r="A158" s="73"/>
      <c r="B158" s="27"/>
      <c r="C158" s="27"/>
      <c r="D158" s="80"/>
      <c r="E158" s="40"/>
      <c r="F158" s="28"/>
    </row>
    <row r="159" spans="1:6" ht="12.75">
      <c r="A159" s="73" t="s">
        <v>76</v>
      </c>
      <c r="B159" s="207" t="s">
        <v>157</v>
      </c>
      <c r="C159" s="27"/>
      <c r="D159" s="80"/>
      <c r="E159" s="40"/>
      <c r="F159" s="28"/>
    </row>
    <row r="160" spans="1:6" ht="25.5">
      <c r="A160" s="73"/>
      <c r="B160" s="29" t="s">
        <v>1149</v>
      </c>
      <c r="C160" s="27" t="s">
        <v>11</v>
      </c>
      <c r="D160" s="69">
        <f>(2.2*(13.04+16.11+9.05+10.94*2)-0.9*2.15*5)*1.01</f>
        <v>123.72601000000002</v>
      </c>
      <c r="E160" s="40"/>
      <c r="F160" s="28"/>
    </row>
    <row r="161" spans="1:6" ht="38.25">
      <c r="A161" s="73"/>
      <c r="B161" s="29" t="s">
        <v>1150</v>
      </c>
      <c r="C161" s="27" t="s">
        <v>11</v>
      </c>
      <c r="D161" s="69">
        <f>(2.2*(21.38+26.83+7.09+14.14+15.52+14.96+14.41+3.36+4.42)-0.9*2.15*9)*1.01</f>
        <v>253.73927</v>
      </c>
      <c r="E161" s="40"/>
      <c r="F161" s="28"/>
    </row>
    <row r="162" spans="1:6" ht="38.25">
      <c r="A162" s="73"/>
      <c r="B162" s="29" t="s">
        <v>1151</v>
      </c>
      <c r="C162" s="27" t="s">
        <v>11</v>
      </c>
      <c r="D162" s="69">
        <f>(2.2*(14.93+16.91+19.13+18.97+8.87+14.4+14.03+7.5)-0.9*2.15*9)*1.01</f>
        <v>237.36313000000007</v>
      </c>
      <c r="E162" s="28"/>
      <c r="F162" s="28"/>
    </row>
    <row r="163" spans="1:6" ht="38.25">
      <c r="A163" s="73"/>
      <c r="B163" s="29" t="s">
        <v>1152</v>
      </c>
      <c r="C163" s="76" t="s">
        <v>11</v>
      </c>
      <c r="D163" s="85">
        <f>(2.2*(16.32+10.74+15.05+14.42+15.82+15.24+7.36+14.1+14.07+7.45)-0.9*2.151)*1.01</f>
        <v>288.17128099999996</v>
      </c>
      <c r="E163" s="90"/>
      <c r="F163" s="91"/>
    </row>
    <row r="164" spans="1:6" ht="12.75">
      <c r="A164" s="73"/>
      <c r="B164" s="27"/>
      <c r="C164" s="27" t="s">
        <v>11</v>
      </c>
      <c r="D164" s="69">
        <f>SUM(D159:D163)</f>
        <v>902.999691</v>
      </c>
      <c r="E164" s="87"/>
      <c r="F164" s="88"/>
    </row>
    <row r="165" spans="1:6" ht="12.75">
      <c r="A165" s="73"/>
      <c r="B165" s="27"/>
      <c r="C165" s="27"/>
      <c r="D165" s="69"/>
      <c r="E165" s="40"/>
      <c r="F165" s="28"/>
    </row>
    <row r="166" spans="1:6" ht="12.75">
      <c r="A166" s="73" t="s">
        <v>194</v>
      </c>
      <c r="B166" s="207" t="s">
        <v>338</v>
      </c>
      <c r="C166" s="27"/>
      <c r="D166" s="69"/>
      <c r="E166" s="40"/>
      <c r="F166" s="28"/>
    </row>
    <row r="167" spans="1:6" ht="12.75">
      <c r="A167" s="73"/>
      <c r="B167" s="153" t="s">
        <v>1153</v>
      </c>
      <c r="C167" s="27" t="s">
        <v>11</v>
      </c>
      <c r="D167" s="69">
        <f>2.2*(6.1+8.75+12.36+12.22-0.9*4)*1.01</f>
        <v>79.61426</v>
      </c>
      <c r="E167" s="40"/>
      <c r="F167" s="28"/>
    </row>
    <row r="168" spans="1:6" ht="12.75">
      <c r="A168" s="73"/>
      <c r="B168" s="153" t="s">
        <v>1154</v>
      </c>
      <c r="C168" s="27" t="s">
        <v>11</v>
      </c>
      <c r="D168" s="69">
        <f>2.2*(8.2+18.55+18.65-0.9*3)*1.01</f>
        <v>94.8794</v>
      </c>
      <c r="E168" s="40"/>
      <c r="F168" s="28"/>
    </row>
    <row r="169" spans="1:6" ht="12.75">
      <c r="A169" s="73"/>
      <c r="B169" s="153" t="s">
        <v>1155</v>
      </c>
      <c r="C169" s="27" t="s">
        <v>11</v>
      </c>
      <c r="D169" s="69">
        <f>2.2*(8.1+18.45+18.55-0.9*3)*1.01</f>
        <v>94.21279999999999</v>
      </c>
      <c r="E169" s="28"/>
      <c r="F169" s="28"/>
    </row>
    <row r="170" spans="1:6" ht="12.75">
      <c r="A170" s="73"/>
      <c r="B170" s="153" t="s">
        <v>1156</v>
      </c>
      <c r="C170" s="76" t="s">
        <v>11</v>
      </c>
      <c r="D170" s="85">
        <f>2.2*(8.14+18.45+18.55-0.9*3)*1.01</f>
        <v>94.30168</v>
      </c>
      <c r="E170" s="90"/>
      <c r="F170" s="91"/>
    </row>
    <row r="171" spans="1:6" ht="12.75">
      <c r="A171" s="73"/>
      <c r="B171" s="27"/>
      <c r="C171" s="27" t="s">
        <v>11</v>
      </c>
      <c r="D171" s="69">
        <f>SUM(D166:D170)</f>
        <v>363.00814</v>
      </c>
      <c r="E171" s="87"/>
      <c r="F171" s="88"/>
    </row>
    <row r="172" spans="1:6" ht="12.75">
      <c r="A172" s="73"/>
      <c r="B172" s="27"/>
      <c r="C172" s="27"/>
      <c r="D172" s="69"/>
      <c r="E172" s="40"/>
      <c r="F172" s="28"/>
    </row>
    <row r="173" spans="1:6" ht="12.75">
      <c r="A173" s="73" t="s">
        <v>197</v>
      </c>
      <c r="B173" s="67" t="s">
        <v>395</v>
      </c>
      <c r="C173" s="27"/>
      <c r="D173" s="69"/>
      <c r="E173" s="40"/>
      <c r="F173" s="28"/>
    </row>
    <row r="174" spans="1:6" ht="89.25">
      <c r="A174" s="55"/>
      <c r="B174" s="145" t="s">
        <v>423</v>
      </c>
      <c r="C174" s="27"/>
      <c r="D174" s="69"/>
      <c r="E174" s="40"/>
      <c r="F174" s="28"/>
    </row>
    <row r="175" spans="1:6" ht="12.75">
      <c r="A175" s="55"/>
      <c r="B175" s="314" t="s">
        <v>1157</v>
      </c>
      <c r="C175" s="27" t="s">
        <v>11</v>
      </c>
      <c r="D175" s="69">
        <f>2.2*25.72-1.9*2.15-0.55*5.6-1.85*2.23</f>
        <v>45.2935</v>
      </c>
      <c r="E175" s="40"/>
      <c r="F175" s="28"/>
    </row>
    <row r="176" spans="1:6" ht="12.75">
      <c r="A176" s="55"/>
      <c r="B176" s="27"/>
      <c r="C176" s="27"/>
      <c r="D176" s="80"/>
      <c r="E176" s="40"/>
      <c r="F176" s="28"/>
    </row>
    <row r="177" spans="1:6" ht="102">
      <c r="A177" s="55">
        <f>A150+1</f>
        <v>807</v>
      </c>
      <c r="B177" s="7" t="s">
        <v>208</v>
      </c>
      <c r="C177" s="27"/>
      <c r="D177" s="80"/>
      <c r="E177" s="40"/>
      <c r="F177" s="28"/>
    </row>
    <row r="178" spans="1:6" ht="25.5">
      <c r="A178" s="55"/>
      <c r="B178" s="57" t="s">
        <v>106</v>
      </c>
      <c r="C178" s="27"/>
      <c r="D178" s="80"/>
      <c r="E178" s="40"/>
      <c r="F178" s="28"/>
    </row>
    <row r="179" spans="1:6" s="41" customFormat="1" ht="12.75">
      <c r="A179" s="54"/>
      <c r="B179" s="57" t="s">
        <v>108</v>
      </c>
      <c r="C179" s="8"/>
      <c r="D179" s="8"/>
      <c r="E179" s="40"/>
      <c r="F179" s="28"/>
    </row>
    <row r="180" spans="1:6" s="41" customFormat="1" ht="38.25">
      <c r="A180" s="54"/>
      <c r="B180" s="57" t="s">
        <v>209</v>
      </c>
      <c r="C180" s="8"/>
      <c r="D180" s="8"/>
      <c r="E180" s="40"/>
      <c r="F180" s="28"/>
    </row>
    <row r="181" spans="1:6" s="41" customFormat="1" ht="12.75">
      <c r="A181" s="54"/>
      <c r="B181" s="57"/>
      <c r="C181" s="8"/>
      <c r="D181" s="8"/>
      <c r="E181" s="40"/>
      <c r="F181" s="28"/>
    </row>
    <row r="182" spans="1:6" s="41" customFormat="1" ht="25.5">
      <c r="A182" s="206" t="s">
        <v>19</v>
      </c>
      <c r="B182" s="67" t="s">
        <v>1158</v>
      </c>
      <c r="C182" s="27" t="s">
        <v>11</v>
      </c>
      <c r="D182" s="192">
        <f>(1.5*1*3+0.6*(1.5*8+1*1))*1.02</f>
        <v>12.546000000000001</v>
      </c>
      <c r="E182" s="40"/>
      <c r="F182" s="28"/>
    </row>
    <row r="183" spans="1:6" s="41" customFormat="1" ht="12.75">
      <c r="A183" s="54"/>
      <c r="C183" s="8"/>
      <c r="D183" s="8"/>
      <c r="E183" s="40"/>
      <c r="F183" s="28"/>
    </row>
    <row r="184" spans="1:6" s="41" customFormat="1" ht="12.75">
      <c r="A184" s="206" t="s">
        <v>76</v>
      </c>
      <c r="B184" s="207" t="s">
        <v>1159</v>
      </c>
      <c r="C184" s="27" t="s">
        <v>11</v>
      </c>
      <c r="D184" s="192">
        <f>(1.5*1*41+0.6*1.5*30)*1.02</f>
        <v>90.27</v>
      </c>
      <c r="E184" s="40"/>
      <c r="F184" s="28"/>
    </row>
    <row r="185" spans="1:6" s="41" customFormat="1" ht="12.75">
      <c r="A185" s="206"/>
      <c r="B185" s="207"/>
      <c r="C185" s="8"/>
      <c r="D185" s="8"/>
      <c r="E185" s="40"/>
      <c r="F185" s="28"/>
    </row>
    <row r="186" spans="1:6" s="41" customFormat="1" ht="38.25">
      <c r="A186" s="206" t="s">
        <v>194</v>
      </c>
      <c r="B186" s="315" t="s">
        <v>1160</v>
      </c>
      <c r="C186" s="27" t="s">
        <v>11</v>
      </c>
      <c r="D186" s="192">
        <f>(1*1.5+5*0.6*1.5+1*1.5*16+2*0.6*1.5+1.5*1*14)*1.02</f>
        <v>53.855999999999995</v>
      </c>
      <c r="E186" s="40"/>
      <c r="F186" s="28"/>
    </row>
    <row r="187" spans="1:6" s="41" customFormat="1" ht="12.75">
      <c r="A187" s="206"/>
      <c r="B187" s="207"/>
      <c r="C187" s="8"/>
      <c r="D187" s="8"/>
      <c r="E187" s="40"/>
      <c r="F187" s="28"/>
    </row>
    <row r="188" spans="1:6" s="41" customFormat="1" ht="12.75">
      <c r="A188" s="55"/>
      <c r="B188" s="29"/>
      <c r="C188" s="65"/>
      <c r="D188" s="27"/>
      <c r="E188" s="30"/>
      <c r="F188" s="30"/>
    </row>
    <row r="189" spans="1:6" s="41" customFormat="1" ht="12.75">
      <c r="A189" s="46">
        <f>A4</f>
        <v>800</v>
      </c>
      <c r="B189" s="33" t="str">
        <f>B4</f>
        <v>KERAMIČARSKI RADOVI</v>
      </c>
      <c r="C189" s="66" t="s">
        <v>1484</v>
      </c>
      <c r="D189" s="13"/>
      <c r="E189" s="14"/>
      <c r="F189" s="15"/>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3" manualBreakCount="3">
    <brk id="29" max="5" man="1"/>
    <brk id="111" max="5" man="1"/>
    <brk id="133" max="5" man="1"/>
  </rowBreaks>
</worksheet>
</file>

<file path=xl/worksheets/sheet11.xml><?xml version="1.0" encoding="utf-8"?>
<worksheet xmlns="http://schemas.openxmlformats.org/spreadsheetml/2006/main" xmlns:r="http://schemas.openxmlformats.org/officeDocument/2006/relationships">
  <dimension ref="A1:F215"/>
  <sheetViews>
    <sheetView zoomScaleSheetLayoutView="110" zoomScalePageLayoutView="0" workbookViewId="0" topLeftCell="A1">
      <pane ySplit="2" topLeftCell="A201" activePane="bottomLeft" state="frozen"/>
      <selection pane="topLeft" activeCell="C203" sqref="C203"/>
      <selection pane="bottomLeft" activeCell="C203" sqref="C203"/>
    </sheetView>
  </sheetViews>
  <sheetFormatPr defaultColWidth="8.88671875" defaultRowHeight="15"/>
  <cols>
    <col min="1" max="1" width="5.77734375" style="351"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338" t="s">
        <v>6</v>
      </c>
      <c r="B1" s="5" t="s">
        <v>7</v>
      </c>
      <c r="C1" s="60" t="s">
        <v>8</v>
      </c>
      <c r="D1" s="26" t="s">
        <v>9</v>
      </c>
      <c r="E1" s="31" t="s">
        <v>1481</v>
      </c>
      <c r="F1" s="26" t="s">
        <v>1482</v>
      </c>
    </row>
    <row r="2" spans="1:6" ht="12.75">
      <c r="A2" s="339" t="s">
        <v>0</v>
      </c>
      <c r="B2" s="5" t="s">
        <v>1</v>
      </c>
      <c r="C2" s="61" t="s">
        <v>2</v>
      </c>
      <c r="D2" s="5" t="s">
        <v>3</v>
      </c>
      <c r="E2" s="5" t="s">
        <v>4</v>
      </c>
      <c r="F2" s="5" t="s">
        <v>5</v>
      </c>
    </row>
    <row r="3" spans="1:6" ht="12.75">
      <c r="A3" s="340"/>
      <c r="B3" s="32"/>
      <c r="C3" s="62"/>
      <c r="D3" s="32"/>
      <c r="E3" s="32"/>
      <c r="F3" s="32"/>
    </row>
    <row r="4" spans="1:6" ht="12.75">
      <c r="A4" s="341">
        <f>keramičarski!A4+100</f>
        <v>900</v>
      </c>
      <c r="B4" s="45" t="s">
        <v>25</v>
      </c>
      <c r="C4" s="63"/>
      <c r="D4" s="13"/>
      <c r="E4" s="13"/>
      <c r="F4" s="13"/>
    </row>
    <row r="5" spans="1:6" ht="12.75">
      <c r="A5" s="342"/>
      <c r="B5" s="74"/>
      <c r="C5" s="59"/>
      <c r="D5" s="3"/>
      <c r="E5" s="3"/>
      <c r="F5" s="3"/>
    </row>
    <row r="6" spans="1:6" ht="140.25">
      <c r="A6" s="342"/>
      <c r="B6" s="202" t="s">
        <v>277</v>
      </c>
      <c r="C6" s="59"/>
      <c r="D6" s="3"/>
      <c r="E6" s="3"/>
      <c r="F6" s="3"/>
    </row>
    <row r="7" spans="1:6" ht="12.75">
      <c r="A7" s="342"/>
      <c r="B7" s="74"/>
      <c r="C7" s="59"/>
      <c r="D7" s="3"/>
      <c r="E7" s="3"/>
      <c r="F7" s="3"/>
    </row>
    <row r="8" spans="1:5" ht="132" customHeight="1">
      <c r="A8" s="343">
        <f>A4+1</f>
        <v>901</v>
      </c>
      <c r="B8" s="79" t="s">
        <v>283</v>
      </c>
      <c r="C8" s="228"/>
      <c r="D8" s="229"/>
      <c r="E8" s="230"/>
    </row>
    <row r="9" spans="1:5" ht="38.25">
      <c r="A9" s="343"/>
      <c r="B9" s="79" t="s">
        <v>284</v>
      </c>
      <c r="C9" s="228"/>
      <c r="D9" s="229"/>
      <c r="E9" s="230"/>
    </row>
    <row r="10" spans="1:6" ht="14.25">
      <c r="A10" s="344"/>
      <c r="B10" s="231" t="s">
        <v>282</v>
      </c>
      <c r="C10" s="27"/>
      <c r="D10" s="229"/>
      <c r="F10" s="28"/>
    </row>
    <row r="11" spans="1:6" ht="51">
      <c r="A11" s="344"/>
      <c r="B11" s="67" t="s">
        <v>1166</v>
      </c>
      <c r="C11" s="27" t="s">
        <v>11</v>
      </c>
      <c r="D11" s="69">
        <v>473.02</v>
      </c>
      <c r="E11" s="40"/>
      <c r="F11" s="28"/>
    </row>
    <row r="12" spans="1:6" ht="51">
      <c r="A12" s="344"/>
      <c r="B12" s="44" t="s">
        <v>1167</v>
      </c>
      <c r="C12" s="27" t="s">
        <v>11</v>
      </c>
      <c r="D12" s="69">
        <v>167.13</v>
      </c>
      <c r="E12" s="40"/>
      <c r="F12" s="28"/>
    </row>
    <row r="13" spans="1:6" ht="51">
      <c r="A13" s="344"/>
      <c r="B13" s="44" t="s">
        <v>1168</v>
      </c>
      <c r="C13" s="27" t="s">
        <v>11</v>
      </c>
      <c r="D13" s="69">
        <v>18.18</v>
      </c>
      <c r="E13" s="40"/>
      <c r="F13" s="28"/>
    </row>
    <row r="14" spans="1:6" ht="12.75">
      <c r="A14" s="344"/>
      <c r="C14" s="27"/>
      <c r="D14" s="69"/>
      <c r="E14" s="40"/>
      <c r="F14" s="28"/>
    </row>
    <row r="15" spans="1:6" ht="63.75">
      <c r="A15" s="342">
        <f>A8+1</f>
        <v>902</v>
      </c>
      <c r="B15" s="7" t="s">
        <v>281</v>
      </c>
      <c r="C15" s="27"/>
      <c r="D15" s="69"/>
      <c r="E15" s="40"/>
      <c r="F15" s="28"/>
    </row>
    <row r="16" spans="1:6" ht="12.75">
      <c r="A16" s="342"/>
      <c r="B16" s="7" t="s">
        <v>280</v>
      </c>
      <c r="C16" s="27"/>
      <c r="D16" s="69"/>
      <c r="E16" s="40"/>
      <c r="F16" s="28"/>
    </row>
    <row r="17" spans="1:6" ht="14.25">
      <c r="A17" s="342"/>
      <c r="B17" s="231" t="s">
        <v>282</v>
      </c>
      <c r="C17" s="27"/>
      <c r="D17" s="69"/>
      <c r="E17" s="40"/>
      <c r="F17" s="28"/>
    </row>
    <row r="18" spans="1:6" ht="51">
      <c r="A18" s="344"/>
      <c r="B18" s="67" t="s">
        <v>1166</v>
      </c>
      <c r="C18" s="27" t="s">
        <v>11</v>
      </c>
      <c r="D18" s="69">
        <v>473.02</v>
      </c>
      <c r="E18" s="40"/>
      <c r="F18" s="28"/>
    </row>
    <row r="19" spans="1:6" ht="51">
      <c r="A19" s="344"/>
      <c r="B19" s="67" t="s">
        <v>1065</v>
      </c>
      <c r="C19" s="27" t="s">
        <v>11</v>
      </c>
      <c r="D19" s="69">
        <v>167.13</v>
      </c>
      <c r="E19" s="40"/>
      <c r="F19" s="28"/>
    </row>
    <row r="20" spans="1:6" ht="12.75">
      <c r="A20" s="344"/>
      <c r="B20" s="67"/>
      <c r="C20" s="27"/>
      <c r="D20" s="69"/>
      <c r="E20" s="40"/>
      <c r="F20" s="28"/>
    </row>
    <row r="21" spans="1:6" ht="51">
      <c r="A21" s="344"/>
      <c r="B21" s="44" t="s">
        <v>1168</v>
      </c>
      <c r="C21" s="27" t="s">
        <v>11</v>
      </c>
      <c r="D21" s="69">
        <v>18.18</v>
      </c>
      <c r="E21" s="40"/>
      <c r="F21" s="28"/>
    </row>
    <row r="22" spans="1:6" ht="12.75">
      <c r="A22" s="344"/>
      <c r="B22" s="44"/>
      <c r="C22" s="65"/>
      <c r="D22" s="27"/>
      <c r="E22" s="40"/>
      <c r="F22" s="28"/>
    </row>
    <row r="23" spans="1:6" ht="165.75">
      <c r="A23" s="343">
        <f>A15+1</f>
        <v>903</v>
      </c>
      <c r="B23" s="7" t="s">
        <v>467</v>
      </c>
      <c r="C23" s="65"/>
      <c r="D23" s="27"/>
      <c r="E23" s="40"/>
      <c r="F23" s="28"/>
    </row>
    <row r="24" spans="1:6" ht="89.25">
      <c r="A24" s="343"/>
      <c r="B24" s="7" t="s">
        <v>468</v>
      </c>
      <c r="C24" s="65"/>
      <c r="D24" s="27"/>
      <c r="E24" s="40"/>
      <c r="F24" s="28"/>
    </row>
    <row r="25" spans="1:6" ht="38.25">
      <c r="A25" s="344"/>
      <c r="B25" s="7" t="s">
        <v>271</v>
      </c>
      <c r="C25" s="65"/>
      <c r="D25" s="27"/>
      <c r="E25" s="28"/>
      <c r="F25" s="28"/>
    </row>
    <row r="26" spans="1:6" ht="38.25">
      <c r="A26" s="344"/>
      <c r="B26" s="22" t="s">
        <v>272</v>
      </c>
      <c r="C26" s="65"/>
      <c r="D26" s="27"/>
      <c r="E26" s="28"/>
      <c r="F26" s="28"/>
    </row>
    <row r="27" spans="1:6" ht="51">
      <c r="A27" s="344"/>
      <c r="B27" s="22" t="s">
        <v>273</v>
      </c>
      <c r="C27" s="65"/>
      <c r="D27" s="27"/>
      <c r="E27" s="28"/>
      <c r="F27" s="28"/>
    </row>
    <row r="28" spans="1:6" ht="25.5">
      <c r="A28" s="344"/>
      <c r="B28" s="22" t="s">
        <v>274</v>
      </c>
      <c r="C28" s="65"/>
      <c r="D28" s="27"/>
      <c r="E28" s="28"/>
      <c r="F28" s="28"/>
    </row>
    <row r="29" spans="1:2" ht="12.75">
      <c r="A29" s="345"/>
      <c r="B29" s="2" t="s">
        <v>278</v>
      </c>
    </row>
    <row r="30" spans="1:6" ht="12.75">
      <c r="A30" s="342" t="s">
        <v>19</v>
      </c>
      <c r="B30" s="67" t="s">
        <v>1066</v>
      </c>
      <c r="C30" s="27" t="s">
        <v>11</v>
      </c>
      <c r="D30" s="69">
        <v>46.16</v>
      </c>
      <c r="E30" s="40"/>
      <c r="F30" s="28"/>
    </row>
    <row r="31" spans="1:6" ht="38.25">
      <c r="A31" s="342" t="s">
        <v>76</v>
      </c>
      <c r="B31" s="67" t="s">
        <v>1169</v>
      </c>
      <c r="C31" s="27" t="s">
        <v>11</v>
      </c>
      <c r="D31" s="69">
        <v>105.38</v>
      </c>
      <c r="E31" s="40"/>
      <c r="F31" s="28"/>
    </row>
    <row r="32" spans="1:6" ht="12.75">
      <c r="A32" s="342" t="s">
        <v>194</v>
      </c>
      <c r="B32" s="67" t="s">
        <v>1068</v>
      </c>
      <c r="C32" s="27" t="s">
        <v>11</v>
      </c>
      <c r="D32" s="69">
        <v>17.44</v>
      </c>
      <c r="E32" s="40"/>
      <c r="F32" s="28"/>
    </row>
    <row r="33" spans="1:6" ht="12.75">
      <c r="A33" s="344"/>
      <c r="B33" s="29"/>
      <c r="C33" s="65"/>
      <c r="D33" s="27"/>
      <c r="E33" s="40"/>
      <c r="F33" s="28"/>
    </row>
    <row r="34" spans="1:6" ht="89.25">
      <c r="A34" s="343">
        <f>A23+1</f>
        <v>904</v>
      </c>
      <c r="B34" s="57" t="s">
        <v>279</v>
      </c>
      <c r="C34" s="65"/>
      <c r="D34" s="27"/>
      <c r="E34" s="28"/>
      <c r="F34" s="28"/>
    </row>
    <row r="35" spans="1:6" ht="12.75">
      <c r="A35" s="343"/>
      <c r="B35" s="57" t="s">
        <v>295</v>
      </c>
      <c r="C35" s="65"/>
      <c r="D35" s="27"/>
      <c r="E35" s="28"/>
      <c r="F35" s="28"/>
    </row>
    <row r="36" spans="1:6" ht="12.75">
      <c r="A36" s="346"/>
      <c r="B36" s="67" t="s">
        <v>1170</v>
      </c>
      <c r="C36" s="27" t="s">
        <v>11</v>
      </c>
      <c r="D36" s="69">
        <v>2.15</v>
      </c>
      <c r="E36" s="40"/>
      <c r="F36" s="28"/>
    </row>
    <row r="37" spans="1:6" ht="12.75">
      <c r="A37" s="346"/>
      <c r="B37" s="29"/>
      <c r="C37" s="65"/>
      <c r="D37" s="27"/>
      <c r="E37" s="30"/>
      <c r="F37" s="30"/>
    </row>
    <row r="38" spans="1:6" ht="102">
      <c r="A38" s="343">
        <f>A34+1</f>
        <v>905</v>
      </c>
      <c r="B38" s="162" t="s">
        <v>296</v>
      </c>
      <c r="C38" s="65"/>
      <c r="D38" s="27"/>
      <c r="E38" s="30"/>
      <c r="F38" s="30"/>
    </row>
    <row r="39" spans="1:6" ht="12.75">
      <c r="A39" s="343"/>
      <c r="B39" s="57" t="s">
        <v>1371</v>
      </c>
      <c r="C39" s="65"/>
      <c r="D39" s="27"/>
      <c r="E39" s="30"/>
      <c r="F39" s="30"/>
    </row>
    <row r="40" spans="1:6" ht="12.75">
      <c r="A40" s="346"/>
      <c r="B40" s="210" t="s">
        <v>1171</v>
      </c>
      <c r="C40" s="27" t="s">
        <v>13</v>
      </c>
      <c r="D40" s="69">
        <v>144.2</v>
      </c>
      <c r="E40" s="40"/>
      <c r="F40" s="28"/>
    </row>
    <row r="41" spans="1:6" ht="12.75">
      <c r="A41" s="346"/>
      <c r="B41" s="39"/>
      <c r="C41" s="27"/>
      <c r="D41" s="27"/>
      <c r="E41" s="28"/>
      <c r="F41" s="28"/>
    </row>
    <row r="42" spans="1:6" ht="38.25">
      <c r="A42" s="343">
        <f>A38+1</f>
        <v>906</v>
      </c>
      <c r="B42" s="29" t="s">
        <v>481</v>
      </c>
      <c r="C42" s="27"/>
      <c r="D42" s="27"/>
      <c r="E42" s="30"/>
      <c r="F42" s="30"/>
    </row>
    <row r="43" spans="1:6" ht="25.5">
      <c r="A43" s="343"/>
      <c r="B43" s="29" t="s">
        <v>462</v>
      </c>
      <c r="C43" s="27"/>
      <c r="D43" s="27"/>
      <c r="E43" s="30"/>
      <c r="F43" s="30"/>
    </row>
    <row r="44" spans="1:6" ht="114.75">
      <c r="A44" s="343"/>
      <c r="B44" s="29" t="s">
        <v>464</v>
      </c>
      <c r="C44" s="27"/>
      <c r="D44" s="27"/>
      <c r="E44" s="30"/>
      <c r="F44" s="30"/>
    </row>
    <row r="45" spans="1:6" ht="135.75" customHeight="1">
      <c r="A45" s="343"/>
      <c r="B45" s="29" t="s">
        <v>465</v>
      </c>
      <c r="C45" s="27"/>
      <c r="D45" s="27"/>
      <c r="E45" s="30"/>
      <c r="F45" s="30"/>
    </row>
    <row r="46" spans="1:6" ht="140.25">
      <c r="A46" s="343"/>
      <c r="B46" s="29" t="s">
        <v>463</v>
      </c>
      <c r="C46" s="27"/>
      <c r="D46" s="27"/>
      <c r="E46" s="30"/>
      <c r="F46" s="30"/>
    </row>
    <row r="47" spans="1:6" s="41" customFormat="1" ht="201.75" customHeight="1">
      <c r="A47" s="346"/>
      <c r="B47" s="29" t="s">
        <v>816</v>
      </c>
      <c r="C47" s="27"/>
      <c r="D47" s="27"/>
      <c r="E47" s="40"/>
      <c r="F47" s="28"/>
    </row>
    <row r="48" spans="1:6" s="41" customFormat="1" ht="38.25">
      <c r="A48" s="346"/>
      <c r="B48" s="39" t="s">
        <v>466</v>
      </c>
      <c r="C48" s="27"/>
      <c r="D48" s="27"/>
      <c r="E48" s="28"/>
      <c r="F48" s="28"/>
    </row>
    <row r="49" spans="1:6" ht="25.5">
      <c r="A49" s="344"/>
      <c r="B49" s="7" t="s">
        <v>469</v>
      </c>
      <c r="C49" s="65"/>
      <c r="D49" s="27"/>
      <c r="E49" s="28"/>
      <c r="F49" s="28"/>
    </row>
    <row r="50" spans="1:6" ht="38.25">
      <c r="A50" s="344"/>
      <c r="B50" s="22" t="s">
        <v>470</v>
      </c>
      <c r="C50" s="65"/>
      <c r="D50" s="27"/>
      <c r="E50" s="28"/>
      <c r="F50" s="28"/>
    </row>
    <row r="51" spans="1:6" ht="25.5">
      <c r="A51" s="344"/>
      <c r="B51" s="22" t="s">
        <v>480</v>
      </c>
      <c r="C51" s="65"/>
      <c r="D51" s="27"/>
      <c r="E51" s="28"/>
      <c r="F51" s="28"/>
    </row>
    <row r="52" spans="1:6" ht="38.25">
      <c r="A52" s="344"/>
      <c r="B52" s="22" t="s">
        <v>482</v>
      </c>
      <c r="C52" s="65"/>
      <c r="D52" s="27"/>
      <c r="E52" s="28"/>
      <c r="F52" s="28"/>
    </row>
    <row r="53" spans="1:6" ht="51">
      <c r="A53" s="344"/>
      <c r="B53" s="22" t="s">
        <v>479</v>
      </c>
      <c r="C53" s="65"/>
      <c r="D53" s="27"/>
      <c r="E53" s="28"/>
      <c r="F53" s="28"/>
    </row>
    <row r="54" spans="1:6" ht="25.5">
      <c r="A54" s="344"/>
      <c r="B54" s="22" t="s">
        <v>274</v>
      </c>
      <c r="C54" s="65"/>
      <c r="D54" s="27"/>
      <c r="E54" s="28"/>
      <c r="F54" s="28"/>
    </row>
    <row r="55" spans="1:2" s="41" customFormat="1" ht="12.75">
      <c r="A55" s="344"/>
      <c r="B55" s="47" t="s">
        <v>473</v>
      </c>
    </row>
    <row r="56" spans="1:6" s="41" customFormat="1" ht="12.75">
      <c r="A56" s="344"/>
      <c r="B56" s="275" t="s">
        <v>471</v>
      </c>
      <c r="C56" s="27"/>
      <c r="D56" s="8"/>
      <c r="E56" s="40"/>
      <c r="F56" s="28"/>
    </row>
    <row r="57" spans="1:6" s="41" customFormat="1" ht="51">
      <c r="A57" s="344"/>
      <c r="B57" s="188" t="s">
        <v>1172</v>
      </c>
      <c r="C57" s="27" t="s">
        <v>11</v>
      </c>
      <c r="D57" s="192">
        <f>(126.8+0.2*(10+12*2))*1.02+(106.3+0.2*(9+12*3))*1.02+(134.8+0.2*(10*2+12*6))*1.02+(81.7+22.95+0.2*(12*4+10+8+6+2+4*6.15*2+0.2*0.6*2))*1.02</f>
        <v>542.06676</v>
      </c>
      <c r="E57" s="40"/>
      <c r="F57" s="28"/>
    </row>
    <row r="58" spans="1:6" s="41" customFormat="1" ht="89.25">
      <c r="A58" s="344"/>
      <c r="B58" s="151" t="s">
        <v>1173</v>
      </c>
      <c r="C58" s="76" t="s">
        <v>11</v>
      </c>
      <c r="D58" s="71">
        <f>((6.6+0.5+0.7)*4+0.2*(4*6)+3.5*3.5*2)*1.02+(225.5-1*4*6-1*3.5*9+0.2*(1+3.5)*2*15)*1.02+(145+0.2*(4.8+3*2)+0.2*(1.2+3*2)*2+0.2*(1.8+3*2)*2+0.2*(0.9+3.4)*2*2+0.2*(0.4+3.2)*12+0.2*(0.4+1.8)*2*8+(0.85+1*2)*5+3*5+12*4.15)*1.02+(6.6+54.3+1.2+0.2*(4*6))*1.02</f>
        <v>587.2446</v>
      </c>
      <c r="E58" s="90"/>
      <c r="F58" s="91"/>
    </row>
    <row r="59" spans="1:6" s="41" customFormat="1" ht="12.75">
      <c r="A59" s="344"/>
      <c r="B59" s="188"/>
      <c r="C59" s="27" t="s">
        <v>11</v>
      </c>
      <c r="D59" s="192">
        <f>SUM(D57:D58)</f>
        <v>1129.3113600000001</v>
      </c>
      <c r="E59" s="40"/>
      <c r="F59" s="28"/>
    </row>
    <row r="60" spans="1:6" s="41" customFormat="1" ht="12.75">
      <c r="A60" s="344"/>
      <c r="B60" s="47"/>
      <c r="C60" s="27"/>
      <c r="D60" s="8"/>
      <c r="E60" s="40"/>
      <c r="F60" s="28"/>
    </row>
    <row r="61" spans="1:6" s="41" customFormat="1" ht="12.75">
      <c r="A61" s="344"/>
      <c r="B61" s="275" t="s">
        <v>472</v>
      </c>
      <c r="C61" s="27"/>
      <c r="D61" s="8"/>
      <c r="E61" s="40"/>
      <c r="F61" s="28"/>
    </row>
    <row r="62" spans="1:6" s="41" customFormat="1" ht="89.25">
      <c r="A62" s="344"/>
      <c r="B62" s="188" t="s">
        <v>1174</v>
      </c>
      <c r="C62" s="27" t="s">
        <v>11</v>
      </c>
      <c r="D62" s="192">
        <f>(3.5*30.6-1*2.5*12+0.2*(1+2.5)*2*12)*1.02+(62.1+1*3.5*16+0.2*1*2.5*4+44.1+0.6*1*14+1*3.5*14+0.2*(1+2.5)*2*14)*1.02+(57.9+1*3*3+1*3.5*15+2.75+0.9+39.6+1*3.5*13+0.2*(1+2.5)*2*(15+18))*1.02+(0.6*4*4)*1.02+(46.5+1*3.5*15+2.7*2+0.2*(1+2.5)*2*15+46.3+1*3.5*15+0.2*(1+2.5)*2*18+0.55*4+3.5*0.2*2*2)*1.02</f>
        <v>870.519</v>
      </c>
      <c r="E62" s="40"/>
      <c r="F62" s="28"/>
    </row>
    <row r="63" spans="1:6" s="41" customFormat="1" ht="114.75">
      <c r="A63" s="344"/>
      <c r="B63" s="151" t="s">
        <v>1175</v>
      </c>
      <c r="C63" s="76" t="s">
        <v>11</v>
      </c>
      <c r="D63" s="85">
        <f>(36.8+63.35+4*18.6+0.5*5.5+48.4-5.14*4-2.36*15-3*9+0.2*(9.5*4+7.6*15+8*9))*1.02+(36*3.5+36.2*4.05-5.14*2-2.36*12-3*6-3.4*2-1.34*9-1.9*3+0.2*(9.5*2+7.6*12+8*6+7.4*2+5.25*9+5.8*3)+(0.5+1.15)*1*6+0.2*(1*6*2))*1.02+(36.4*3.5+30.2*4-2.36*15-3*13+0.2*(7.6*15+8*13))+(24*3+9.6*3.5+4*23.65+4*3.15-2.36*11+3*10+0.2*(7.6*11+8*10))*1.02</f>
        <v>919.5476000000001</v>
      </c>
      <c r="E63" s="90"/>
      <c r="F63" s="91"/>
    </row>
    <row r="64" spans="1:6" s="41" customFormat="1" ht="12.75">
      <c r="A64" s="344"/>
      <c r="B64" s="188"/>
      <c r="C64" s="27" t="s">
        <v>11</v>
      </c>
      <c r="D64" s="192">
        <f>SUM(D62:D63)</f>
        <v>1790.0666</v>
      </c>
      <c r="E64" s="40"/>
      <c r="F64" s="28"/>
    </row>
    <row r="65" spans="1:6" s="41" customFormat="1" ht="12.75">
      <c r="A65" s="346"/>
      <c r="B65" s="39"/>
      <c r="C65" s="27"/>
      <c r="D65" s="27"/>
      <c r="E65" s="28"/>
      <c r="F65" s="28"/>
    </row>
    <row r="66" spans="1:6" s="41" customFormat="1" ht="12.75">
      <c r="A66" s="344"/>
      <c r="B66" s="275" t="s">
        <v>474</v>
      </c>
      <c r="C66" s="8"/>
      <c r="D66" s="8"/>
      <c r="E66" s="40"/>
      <c r="F66" s="28"/>
    </row>
    <row r="67" spans="1:6" s="41" customFormat="1" ht="51">
      <c r="A67" s="344"/>
      <c r="B67" s="188" t="s">
        <v>1176</v>
      </c>
      <c r="C67" s="27" t="s">
        <v>11</v>
      </c>
      <c r="D67" s="192">
        <f>(1.1*36.7+0.5*30.56+1*30.15)*1.02+(1.1*36.7+0.5*36.7+1*36.7)*1.02+(35+9.5+0.2*(0.5+1+1.1)*2)*1.02+(48.8*1.1+42.2*0.5+48.8*1)*1.02</f>
        <v>357.34680000000003</v>
      </c>
      <c r="E67" s="40"/>
      <c r="F67" s="28"/>
    </row>
    <row r="68" spans="1:6" s="41" customFormat="1" ht="102">
      <c r="A68" s="344"/>
      <c r="B68" s="151" t="s">
        <v>1177</v>
      </c>
      <c r="C68" s="76" t="s">
        <v>11</v>
      </c>
      <c r="D68" s="85">
        <f>(34.8+(0.5+0.15*2)+(0.65+0.15)*3.5+2.3*(1+0.15*2)+4*(0.65+0.15)+37*(1+0.15+0.3))*1.02+((0.5+0.15*2)*37+(1+0.15*2)*37+(0.7+0.15)*3.5+(0.4+0.15)*3.5)*1.02+((0.5+0.15*2)*37+(1+0.15*2)*24.35+(1+0.15+0.65)*30.88+(0.55+0.15)*4+(0.5+0.15)*3.5)*1.02+((1+0.15*2)*30.1+(1+0.15*2)*24.15+(0.5+0.15*2+0.15*6)+(0.5+0.15)*4*2+(1+0.15+0.3)*31)*1.02+4.05*0.6*4*4*1.02</f>
        <v>473.28918</v>
      </c>
      <c r="E68" s="90"/>
      <c r="F68" s="91"/>
    </row>
    <row r="69" spans="1:6" s="41" customFormat="1" ht="12.75">
      <c r="A69" s="344"/>
      <c r="B69" s="188"/>
      <c r="C69" s="27" t="s">
        <v>11</v>
      </c>
      <c r="D69" s="192">
        <f>SUM(D67:D68)</f>
        <v>830.63598</v>
      </c>
      <c r="E69" s="40"/>
      <c r="F69" s="28"/>
    </row>
    <row r="70" spans="1:6" s="41" customFormat="1" ht="12.75">
      <c r="A70" s="344"/>
      <c r="B70" s="188"/>
      <c r="C70" s="27"/>
      <c r="D70" s="192"/>
      <c r="E70" s="40"/>
      <c r="F70" s="28"/>
    </row>
    <row r="71" spans="1:6" s="41" customFormat="1" ht="51">
      <c r="A71" s="342">
        <f>A42+1</f>
        <v>907</v>
      </c>
      <c r="B71" s="7" t="s">
        <v>485</v>
      </c>
      <c r="C71" s="27"/>
      <c r="D71" s="192"/>
      <c r="E71" s="40"/>
      <c r="F71" s="28"/>
    </row>
    <row r="72" spans="1:6" s="41" customFormat="1" ht="12.75">
      <c r="A72" s="342"/>
      <c r="B72" s="7" t="s">
        <v>484</v>
      </c>
      <c r="C72" s="27"/>
      <c r="D72" s="192"/>
      <c r="E72" s="40"/>
      <c r="F72" s="28"/>
    </row>
    <row r="73" spans="1:6" s="41" customFormat="1" ht="38.25">
      <c r="A73" s="342"/>
      <c r="B73" s="7" t="s">
        <v>486</v>
      </c>
      <c r="C73" s="27"/>
      <c r="D73" s="192"/>
      <c r="E73" s="40"/>
      <c r="F73" s="28"/>
    </row>
    <row r="74" spans="1:6" s="41" customFormat="1" ht="102">
      <c r="A74" s="342"/>
      <c r="B74" s="7" t="s">
        <v>487</v>
      </c>
      <c r="C74" s="27"/>
      <c r="D74" s="192"/>
      <c r="E74" s="40"/>
      <c r="F74" s="28"/>
    </row>
    <row r="75" spans="1:6" s="41" customFormat="1" ht="25.5">
      <c r="A75" s="342"/>
      <c r="B75" s="7" t="s">
        <v>488</v>
      </c>
      <c r="C75" s="27"/>
      <c r="D75" s="192"/>
      <c r="E75" s="40"/>
      <c r="F75" s="28"/>
    </row>
    <row r="76" spans="1:6" s="41" customFormat="1" ht="25.5">
      <c r="A76" s="342"/>
      <c r="B76" s="7" t="s">
        <v>483</v>
      </c>
      <c r="C76" s="27"/>
      <c r="D76" s="192"/>
      <c r="E76" s="40"/>
      <c r="F76" s="28"/>
    </row>
    <row r="77" spans="1:6" ht="25.5">
      <c r="A77" s="344"/>
      <c r="B77" s="7" t="s">
        <v>469</v>
      </c>
      <c r="C77" s="65"/>
      <c r="D77" s="27"/>
      <c r="E77" s="28"/>
      <c r="F77" s="28"/>
    </row>
    <row r="78" spans="1:6" ht="38.25">
      <c r="A78" s="344"/>
      <c r="B78" s="22" t="s">
        <v>470</v>
      </c>
      <c r="C78" s="65"/>
      <c r="D78" s="27"/>
      <c r="E78" s="28"/>
      <c r="F78" s="28"/>
    </row>
    <row r="79" spans="1:6" ht="25.5">
      <c r="A79" s="344"/>
      <c r="B79" s="22" t="s">
        <v>480</v>
      </c>
      <c r="C79" s="65"/>
      <c r="D79" s="27"/>
      <c r="E79" s="28"/>
      <c r="F79" s="28"/>
    </row>
    <row r="80" spans="1:6" ht="41.25" customHeight="1">
      <c r="A80" s="344"/>
      <c r="B80" s="151" t="s">
        <v>482</v>
      </c>
      <c r="C80" s="65"/>
      <c r="D80" s="27"/>
      <c r="E80" s="28"/>
      <c r="F80" s="28"/>
    </row>
    <row r="81" spans="1:6" ht="51">
      <c r="A81" s="344"/>
      <c r="B81" s="22" t="s">
        <v>479</v>
      </c>
      <c r="C81" s="65"/>
      <c r="D81" s="27"/>
      <c r="E81" s="28"/>
      <c r="F81" s="28"/>
    </row>
    <row r="82" spans="1:6" ht="25.5">
      <c r="A82" s="344"/>
      <c r="B82" s="22" t="s">
        <v>274</v>
      </c>
      <c r="C82" s="65"/>
      <c r="D82" s="27"/>
      <c r="E82" s="28"/>
      <c r="F82" s="28"/>
    </row>
    <row r="83" spans="1:6" s="41" customFormat="1" ht="12.75">
      <c r="A83" s="342"/>
      <c r="B83" s="47" t="s">
        <v>489</v>
      </c>
      <c r="C83" s="27"/>
      <c r="D83" s="192"/>
      <c r="E83" s="40"/>
      <c r="F83" s="28"/>
    </row>
    <row r="84" spans="1:6" s="41" customFormat="1" ht="12.75">
      <c r="A84" s="344"/>
      <c r="B84" s="275" t="s">
        <v>490</v>
      </c>
      <c r="C84" s="27"/>
      <c r="D84" s="8"/>
      <c r="E84" s="40"/>
      <c r="F84" s="28"/>
    </row>
    <row r="85" spans="1:6" s="41" customFormat="1" ht="38.25">
      <c r="A85" s="344"/>
      <c r="B85" s="188" t="s">
        <v>1178</v>
      </c>
      <c r="C85" s="76" t="s">
        <v>11</v>
      </c>
      <c r="D85" s="85">
        <f>(1.9*5.5*2+1.9*8.5*2+0.65*5.5*2+0.65*8.5*2+0.5*5.5*2+(1.9+0.65)*8.5*2+7.8*36.7)*1.02</f>
        <v>414.6402</v>
      </c>
      <c r="E85" s="90"/>
      <c r="F85" s="91"/>
    </row>
    <row r="86" spans="1:6" s="41" customFormat="1" ht="12.75">
      <c r="A86" s="344"/>
      <c r="B86" s="188"/>
      <c r="C86" s="27" t="s">
        <v>11</v>
      </c>
      <c r="D86" s="192">
        <f>SUM(D85:D85)</f>
        <v>414.6402</v>
      </c>
      <c r="E86" s="40"/>
      <c r="F86" s="28"/>
    </row>
    <row r="87" spans="1:6" s="41" customFormat="1" ht="12.75">
      <c r="A87" s="344"/>
      <c r="B87" s="47"/>
      <c r="C87" s="27"/>
      <c r="D87" s="8"/>
      <c r="E87" s="40"/>
      <c r="F87" s="28"/>
    </row>
    <row r="88" spans="1:6" s="41" customFormat="1" ht="12.75">
      <c r="A88" s="344"/>
      <c r="B88" s="275" t="s">
        <v>491</v>
      </c>
      <c r="C88" s="27"/>
      <c r="D88" s="8"/>
      <c r="E88" s="40"/>
      <c r="F88" s="28"/>
    </row>
    <row r="89" spans="1:6" s="41" customFormat="1" ht="25.5">
      <c r="A89" s="344"/>
      <c r="B89" s="188" t="s">
        <v>1180</v>
      </c>
      <c r="C89" s="27" t="s">
        <v>11</v>
      </c>
      <c r="D89" s="192">
        <f>(0.56*4*3*5+0.56*4*2.8*3.1)*1.02+2.15*4.65*2*1.02</f>
        <v>74.498964</v>
      </c>
      <c r="E89" s="40"/>
      <c r="F89" s="28"/>
    </row>
    <row r="90" spans="1:6" s="41" customFormat="1" ht="25.5">
      <c r="A90" s="344"/>
      <c r="B90" s="151" t="s">
        <v>1179</v>
      </c>
      <c r="C90" s="76" t="s">
        <v>11</v>
      </c>
      <c r="D90" s="85">
        <f>(5*26.2+2*1)*1.02+(5*8.6+2*1)*1.02</f>
        <v>181.56</v>
      </c>
      <c r="E90" s="90"/>
      <c r="F90" s="91"/>
    </row>
    <row r="91" spans="1:6" s="41" customFormat="1" ht="12.75">
      <c r="A91" s="344"/>
      <c r="B91" s="188"/>
      <c r="C91" s="27" t="s">
        <v>11</v>
      </c>
      <c r="D91" s="192">
        <f>SUM(D89:D90)</f>
        <v>256.058964</v>
      </c>
      <c r="E91" s="40"/>
      <c r="F91" s="28"/>
    </row>
    <row r="92" spans="1:6" s="41" customFormat="1" ht="12.75">
      <c r="A92" s="346"/>
      <c r="B92" s="39"/>
      <c r="C92" s="27"/>
      <c r="D92" s="27"/>
      <c r="E92" s="28"/>
      <c r="F92" s="28"/>
    </row>
    <row r="93" spans="1:6" s="41" customFormat="1" ht="12.75">
      <c r="A93" s="344"/>
      <c r="B93" s="275" t="s">
        <v>492</v>
      </c>
      <c r="C93" s="8"/>
      <c r="D93" s="8"/>
      <c r="E93" s="40"/>
      <c r="F93" s="28"/>
    </row>
    <row r="94" spans="1:6" s="41" customFormat="1" ht="51">
      <c r="A94" s="344"/>
      <c r="B94" s="151" t="s">
        <v>1181</v>
      </c>
      <c r="C94" s="27" t="s">
        <v>11</v>
      </c>
      <c r="D94" s="72">
        <f>(2.4*2*13.35*2+2*4*3)*1.02+3*1.6*1.02+(8.7+8.3)*8.75*1.02</f>
        <v>311.8242</v>
      </c>
      <c r="E94" s="40"/>
      <c r="F94" s="28"/>
    </row>
    <row r="95" spans="1:6" s="41" customFormat="1" ht="12.75">
      <c r="A95" s="342"/>
      <c r="B95" s="188"/>
      <c r="C95" s="27"/>
      <c r="D95" s="192"/>
      <c r="E95" s="40"/>
      <c r="F95" s="28"/>
    </row>
    <row r="96" spans="1:6" s="41" customFormat="1" ht="12.75">
      <c r="A96" s="342"/>
      <c r="B96" s="275" t="s">
        <v>495</v>
      </c>
      <c r="C96" s="27"/>
      <c r="D96" s="192"/>
      <c r="E96" s="40"/>
      <c r="F96" s="28"/>
    </row>
    <row r="97" spans="1:6" s="41" customFormat="1" ht="25.5">
      <c r="A97" s="344"/>
      <c r="B97" s="188" t="s">
        <v>1182</v>
      </c>
      <c r="C97" s="27" t="s">
        <v>11</v>
      </c>
      <c r="D97" s="192">
        <f>2.15*35.6*1.02</f>
        <v>78.0708</v>
      </c>
      <c r="E97" s="40"/>
      <c r="F97" s="28"/>
    </row>
    <row r="98" spans="1:6" s="41" customFormat="1" ht="12.75">
      <c r="A98" s="342"/>
      <c r="B98" s="188"/>
      <c r="C98" s="27"/>
      <c r="D98" s="192"/>
      <c r="E98" s="40"/>
      <c r="F98" s="28"/>
    </row>
    <row r="99" spans="1:6" s="41" customFormat="1" ht="12.75">
      <c r="A99" s="342"/>
      <c r="B99" s="275" t="s">
        <v>494</v>
      </c>
      <c r="C99" s="27"/>
      <c r="D99" s="192"/>
      <c r="E99" s="40"/>
      <c r="F99" s="28"/>
    </row>
    <row r="100" spans="1:6" s="41" customFormat="1" ht="38.25">
      <c r="A100" s="342"/>
      <c r="B100" s="188" t="s">
        <v>1183</v>
      </c>
      <c r="C100" s="27" t="s">
        <v>11</v>
      </c>
      <c r="D100" s="192">
        <f>(6.75*0.5+6.75*0.75+6.75*0.15)*2*1.02+(7.1*(0.5+0.1))*2*1.02+((0.5+0.15)*0.75*2)*1.02</f>
        <v>28.962899999999998</v>
      </c>
      <c r="E100" s="40"/>
      <c r="F100" s="28"/>
    </row>
    <row r="101" spans="1:6" s="41" customFormat="1" ht="12.75">
      <c r="A101" s="342"/>
      <c r="B101" s="275"/>
      <c r="C101" s="27"/>
      <c r="D101" s="192"/>
      <c r="E101" s="40"/>
      <c r="F101" s="28"/>
    </row>
    <row r="102" spans="1:6" s="41" customFormat="1" ht="12.75">
      <c r="A102" s="342"/>
      <c r="B102" s="275" t="s">
        <v>493</v>
      </c>
      <c r="C102" s="27"/>
      <c r="D102" s="192"/>
      <c r="E102" s="40"/>
      <c r="F102" s="28"/>
    </row>
    <row r="103" spans="1:6" s="41" customFormat="1" ht="25.5">
      <c r="A103" s="342"/>
      <c r="B103" s="188" t="s">
        <v>1372</v>
      </c>
      <c r="C103" s="27" t="s">
        <v>11</v>
      </c>
      <c r="D103" s="192">
        <f>(6.75*0.5+6.75*0.75+6.75*0.15)*2*1.02+(7.1*(0.5+0.1))*2*1.02+((0.5+0.15)*1*2)*1.02+(7.1*12.5+1.1*7.1+0.7*7.1)*1.02</f>
        <v>132.85500000000002</v>
      </c>
      <c r="E103" s="40"/>
      <c r="F103" s="28"/>
    </row>
    <row r="104" spans="1:6" s="41" customFormat="1" ht="38.25">
      <c r="A104" s="342"/>
      <c r="B104" s="89" t="s">
        <v>1164</v>
      </c>
      <c r="C104" s="27"/>
      <c r="D104" s="192"/>
      <c r="E104" s="40"/>
      <c r="F104" s="28"/>
    </row>
    <row r="105" spans="1:6" s="41" customFormat="1" ht="12.75">
      <c r="A105" s="342"/>
      <c r="B105" s="89"/>
      <c r="C105" s="27"/>
      <c r="D105" s="192"/>
      <c r="E105" s="40"/>
      <c r="F105" s="28"/>
    </row>
    <row r="106" spans="1:6" s="41" customFormat="1" ht="12.75">
      <c r="A106" s="342"/>
      <c r="B106" s="275" t="s">
        <v>494</v>
      </c>
      <c r="C106" s="27"/>
      <c r="D106" s="192"/>
      <c r="E106" s="40"/>
      <c r="F106" s="28"/>
    </row>
    <row r="107" spans="1:6" s="41" customFormat="1" ht="25.5">
      <c r="A107" s="342"/>
      <c r="B107" s="188" t="s">
        <v>1372</v>
      </c>
      <c r="C107" s="27" t="s">
        <v>11</v>
      </c>
      <c r="D107" s="192">
        <f>58.2*1.02</f>
        <v>59.364000000000004</v>
      </c>
      <c r="E107" s="40"/>
      <c r="F107" s="28"/>
    </row>
    <row r="108" spans="1:6" s="41" customFormat="1" ht="12.75">
      <c r="A108" s="342"/>
      <c r="B108" s="89" t="s">
        <v>1373</v>
      </c>
      <c r="C108" s="27"/>
      <c r="D108" s="192"/>
      <c r="E108" s="40"/>
      <c r="F108" s="28"/>
    </row>
    <row r="109" spans="1:6" s="41" customFormat="1" ht="12.75">
      <c r="A109" s="342"/>
      <c r="B109" s="47"/>
      <c r="C109" s="27"/>
      <c r="D109" s="192"/>
      <c r="E109" s="40"/>
      <c r="F109" s="28"/>
    </row>
    <row r="110" spans="1:6" s="41" customFormat="1" ht="38.25">
      <c r="A110" s="346"/>
      <c r="B110" s="210" t="s">
        <v>1329</v>
      </c>
      <c r="C110" s="27"/>
      <c r="D110" s="27"/>
      <c r="E110" s="40"/>
      <c r="F110" s="28"/>
    </row>
    <row r="111" spans="1:6" s="199" customFormat="1" ht="38.25">
      <c r="A111" s="347"/>
      <c r="B111" s="322" t="s">
        <v>1330</v>
      </c>
      <c r="C111" s="195"/>
      <c r="D111" s="195"/>
      <c r="E111" s="197"/>
      <c r="F111" s="198"/>
    </row>
    <row r="112" spans="1:6" s="199" customFormat="1" ht="12.75">
      <c r="A112" s="347"/>
      <c r="B112" s="322"/>
      <c r="C112" s="195"/>
      <c r="D112" s="195"/>
      <c r="E112" s="197"/>
      <c r="F112" s="198"/>
    </row>
    <row r="113" spans="1:6" ht="154.5" customHeight="1">
      <c r="A113" s="343">
        <f>A71+1</f>
        <v>908</v>
      </c>
      <c r="B113" s="162" t="s">
        <v>1321</v>
      </c>
      <c r="C113" s="65"/>
      <c r="D113" s="27"/>
      <c r="E113" s="30"/>
      <c r="F113" s="30"/>
    </row>
    <row r="114" spans="1:6" s="41" customFormat="1" ht="76.5">
      <c r="A114" s="346"/>
      <c r="B114" s="29" t="s">
        <v>1322</v>
      </c>
      <c r="C114" s="27"/>
      <c r="D114" s="27"/>
      <c r="E114" s="40"/>
      <c r="F114" s="28"/>
    </row>
    <row r="115" spans="1:6" s="41" customFormat="1" ht="51">
      <c r="A115" s="346"/>
      <c r="B115" s="29" t="s">
        <v>1323</v>
      </c>
      <c r="C115" s="27"/>
      <c r="D115" s="27"/>
      <c r="E115" s="40"/>
      <c r="F115" s="28"/>
    </row>
    <row r="116" spans="1:6" s="41" customFormat="1" ht="51">
      <c r="A116" s="346"/>
      <c r="B116" s="29" t="s">
        <v>1325</v>
      </c>
      <c r="C116" s="27"/>
      <c r="D116" s="27"/>
      <c r="E116" s="40"/>
      <c r="F116" s="28"/>
    </row>
    <row r="117" spans="1:6" s="41" customFormat="1" ht="51">
      <c r="A117" s="346"/>
      <c r="B117" s="29" t="s">
        <v>1324</v>
      </c>
      <c r="C117" s="27"/>
      <c r="D117" s="27"/>
      <c r="E117" s="40"/>
      <c r="F117" s="28"/>
    </row>
    <row r="118" spans="1:6" s="41" customFormat="1" ht="76.5">
      <c r="A118" s="346"/>
      <c r="B118" s="29" t="s">
        <v>1326</v>
      </c>
      <c r="C118" s="27"/>
      <c r="D118" s="27"/>
      <c r="E118" s="40"/>
      <c r="F118" s="28"/>
    </row>
    <row r="119" spans="1:6" s="41" customFormat="1" ht="140.25">
      <c r="A119" s="346"/>
      <c r="B119" s="29" t="s">
        <v>1327</v>
      </c>
      <c r="C119" s="27"/>
      <c r="D119" s="27"/>
      <c r="E119" s="40"/>
      <c r="F119" s="28"/>
    </row>
    <row r="120" spans="1:6" s="41" customFormat="1" ht="102">
      <c r="A120" s="346"/>
      <c r="B120" s="29" t="s">
        <v>1328</v>
      </c>
      <c r="C120" s="27"/>
      <c r="D120" s="27"/>
      <c r="E120" s="40"/>
      <c r="F120" s="28"/>
    </row>
    <row r="121" spans="1:6" s="41" customFormat="1" ht="25.5">
      <c r="A121" s="346"/>
      <c r="B121" s="29" t="s">
        <v>1320</v>
      </c>
      <c r="C121" s="27"/>
      <c r="D121" s="27"/>
      <c r="E121" s="40"/>
      <c r="F121" s="28"/>
    </row>
    <row r="122" spans="1:6" s="41" customFormat="1" ht="38.25">
      <c r="A122" s="346"/>
      <c r="B122" s="29" t="s">
        <v>1319</v>
      </c>
      <c r="C122" s="27"/>
      <c r="D122" s="27"/>
      <c r="E122" s="40"/>
      <c r="F122" s="28"/>
    </row>
    <row r="123" spans="1:6" s="41" customFormat="1" ht="12.75">
      <c r="A123" s="342"/>
      <c r="B123" s="67" t="s">
        <v>157</v>
      </c>
      <c r="C123" s="323"/>
      <c r="D123" s="323"/>
      <c r="E123" s="320"/>
      <c r="F123" s="321"/>
    </row>
    <row r="124" spans="1:6" s="41" customFormat="1" ht="24.75">
      <c r="A124" s="348" t="s">
        <v>39</v>
      </c>
      <c r="B124" s="7" t="s">
        <v>1331</v>
      </c>
      <c r="C124" s="277" t="s">
        <v>540</v>
      </c>
      <c r="D124" s="69">
        <v>1</v>
      </c>
      <c r="E124" s="40"/>
      <c r="F124" s="28"/>
    </row>
    <row r="125" spans="1:6" s="41" customFormat="1" ht="24.75">
      <c r="A125" s="348" t="s">
        <v>40</v>
      </c>
      <c r="B125" s="7" t="s">
        <v>1332</v>
      </c>
      <c r="C125" s="277" t="s">
        <v>540</v>
      </c>
      <c r="D125" s="69">
        <v>1</v>
      </c>
      <c r="E125" s="40"/>
      <c r="F125" s="28"/>
    </row>
    <row r="126" spans="1:6" s="41" customFormat="1" ht="12.75">
      <c r="A126" s="348"/>
      <c r="B126" s="7"/>
      <c r="C126" s="277"/>
      <c r="D126" s="69"/>
      <c r="E126" s="40"/>
      <c r="F126" s="28"/>
    </row>
    <row r="127" spans="1:6" s="41" customFormat="1" ht="153">
      <c r="A127" s="343">
        <f>A113+1</f>
        <v>909</v>
      </c>
      <c r="B127" s="280" t="s">
        <v>1333</v>
      </c>
      <c r="C127" s="277"/>
      <c r="D127" s="69"/>
      <c r="E127" s="40"/>
      <c r="F127" s="28"/>
    </row>
    <row r="128" spans="1:6" s="41" customFormat="1" ht="140.25">
      <c r="A128" s="348"/>
      <c r="B128" s="7" t="s">
        <v>1334</v>
      </c>
      <c r="C128" s="277"/>
      <c r="D128" s="69"/>
      <c r="E128" s="40"/>
      <c r="F128" s="28"/>
    </row>
    <row r="129" spans="1:6" s="41" customFormat="1" ht="51">
      <c r="A129" s="348"/>
      <c r="B129" s="7" t="s">
        <v>1323</v>
      </c>
      <c r="C129" s="277"/>
      <c r="D129" s="69"/>
      <c r="E129" s="40"/>
      <c r="F129" s="28"/>
    </row>
    <row r="130" spans="1:6" s="41" customFormat="1" ht="51">
      <c r="A130" s="348"/>
      <c r="B130" s="280" t="s">
        <v>1325</v>
      </c>
      <c r="C130" s="277"/>
      <c r="D130" s="69"/>
      <c r="E130" s="40"/>
      <c r="F130" s="28"/>
    </row>
    <row r="131" spans="1:6" s="41" customFormat="1" ht="51">
      <c r="A131" s="348"/>
      <c r="B131" s="280" t="s">
        <v>1335</v>
      </c>
      <c r="C131" s="277"/>
      <c r="D131" s="69"/>
      <c r="E131" s="40"/>
      <c r="F131" s="28"/>
    </row>
    <row r="132" spans="1:6" s="41" customFormat="1" ht="137.25" customHeight="1">
      <c r="A132" s="348"/>
      <c r="B132" s="280" t="s">
        <v>1338</v>
      </c>
      <c r="C132" s="277"/>
      <c r="D132" s="69"/>
      <c r="E132" s="40"/>
      <c r="F132" s="28"/>
    </row>
    <row r="133" spans="1:6" s="41" customFormat="1" ht="63.75">
      <c r="A133" s="348"/>
      <c r="B133" s="280" t="s">
        <v>1336</v>
      </c>
      <c r="C133" s="277"/>
      <c r="D133" s="69"/>
      <c r="E133" s="40"/>
      <c r="F133" s="28"/>
    </row>
    <row r="134" spans="1:6" s="41" customFormat="1" ht="102">
      <c r="A134" s="348"/>
      <c r="B134" s="280" t="s">
        <v>1337</v>
      </c>
      <c r="C134" s="277"/>
      <c r="D134" s="69"/>
      <c r="E134" s="40"/>
      <c r="F134" s="28"/>
    </row>
    <row r="135" spans="1:6" s="41" customFormat="1" ht="25.5">
      <c r="A135" s="346"/>
      <c r="B135" s="29" t="s">
        <v>1320</v>
      </c>
      <c r="C135" s="27"/>
      <c r="D135" s="27"/>
      <c r="E135" s="40"/>
      <c r="F135" s="28"/>
    </row>
    <row r="136" spans="1:6" s="41" customFormat="1" ht="38.25">
      <c r="A136" s="346"/>
      <c r="B136" s="29" t="s">
        <v>1319</v>
      </c>
      <c r="C136" s="27"/>
      <c r="D136" s="27"/>
      <c r="E136" s="40"/>
      <c r="F136" s="28"/>
    </row>
    <row r="137" spans="1:6" s="41" customFormat="1" ht="12.75">
      <c r="A137" s="342"/>
      <c r="B137" s="67" t="s">
        <v>157</v>
      </c>
      <c r="C137" s="323"/>
      <c r="D137" s="323"/>
      <c r="E137" s="320"/>
      <c r="F137" s="321"/>
    </row>
    <row r="138" spans="1:6" s="41" customFormat="1" ht="38.25">
      <c r="A138" s="348" t="s">
        <v>39</v>
      </c>
      <c r="B138" s="7" t="s">
        <v>1339</v>
      </c>
      <c r="C138" s="277" t="s">
        <v>540</v>
      </c>
      <c r="D138" s="69">
        <v>1</v>
      </c>
      <c r="E138" s="40"/>
      <c r="F138" s="28"/>
    </row>
    <row r="139" spans="1:6" s="41" customFormat="1" ht="25.5">
      <c r="A139" s="348" t="s">
        <v>40</v>
      </c>
      <c r="B139" s="7" t="s">
        <v>1340</v>
      </c>
      <c r="C139" s="277" t="s">
        <v>540</v>
      </c>
      <c r="D139" s="69">
        <v>1</v>
      </c>
      <c r="E139" s="40"/>
      <c r="F139" s="28"/>
    </row>
    <row r="140" spans="1:6" s="41" customFormat="1" ht="12.75">
      <c r="A140" s="348"/>
      <c r="B140" s="280"/>
      <c r="C140" s="277"/>
      <c r="D140" s="69"/>
      <c r="E140" s="40"/>
      <c r="F140" s="28"/>
    </row>
    <row r="141" spans="1:6" s="41" customFormat="1" ht="12.75">
      <c r="A141" s="342"/>
      <c r="B141" s="67"/>
      <c r="C141" s="27"/>
      <c r="D141" s="27"/>
      <c r="E141" s="40"/>
      <c r="F141" s="28"/>
    </row>
    <row r="142" spans="1:6" s="41" customFormat="1" ht="178.5">
      <c r="A142" s="343">
        <f>A127+1</f>
        <v>910</v>
      </c>
      <c r="B142" s="7" t="s">
        <v>1342</v>
      </c>
      <c r="C142" s="277"/>
      <c r="D142" s="69"/>
      <c r="E142" s="40"/>
      <c r="F142" s="28"/>
    </row>
    <row r="143" spans="1:6" s="41" customFormat="1" ht="76.5">
      <c r="A143" s="343"/>
      <c r="B143" s="7" t="s">
        <v>1322</v>
      </c>
      <c r="C143" s="277"/>
      <c r="D143" s="69"/>
      <c r="E143" s="40"/>
      <c r="F143" s="28"/>
    </row>
    <row r="144" spans="1:6" s="41" customFormat="1" ht="102">
      <c r="A144" s="343"/>
      <c r="B144" s="7" t="s">
        <v>1345</v>
      </c>
      <c r="C144" s="277"/>
      <c r="D144" s="69"/>
      <c r="E144" s="40"/>
      <c r="F144" s="28"/>
    </row>
    <row r="145" spans="1:6" s="41" customFormat="1" ht="76.5">
      <c r="A145" s="343"/>
      <c r="B145" s="7" t="s">
        <v>1326</v>
      </c>
      <c r="C145" s="277"/>
      <c r="D145" s="69"/>
      <c r="E145" s="40"/>
      <c r="F145" s="28"/>
    </row>
    <row r="146" spans="1:6" s="41" customFormat="1" ht="102">
      <c r="A146" s="343"/>
      <c r="B146" s="7" t="s">
        <v>1343</v>
      </c>
      <c r="C146" s="277"/>
      <c r="D146" s="69"/>
      <c r="E146" s="40"/>
      <c r="F146" s="28"/>
    </row>
    <row r="147" spans="1:6" s="41" customFormat="1" ht="12.75">
      <c r="A147" s="343"/>
      <c r="B147" s="7"/>
      <c r="C147" s="277"/>
      <c r="D147" s="69"/>
      <c r="E147" s="40"/>
      <c r="F147" s="28"/>
    </row>
    <row r="148" spans="1:6" s="41" customFormat="1" ht="127.5">
      <c r="A148" s="348"/>
      <c r="B148" s="7" t="s">
        <v>1344</v>
      </c>
      <c r="C148" s="277"/>
      <c r="D148" s="69"/>
      <c r="E148" s="40"/>
      <c r="F148" s="28"/>
    </row>
    <row r="149" spans="1:6" s="41" customFormat="1" ht="25.5">
      <c r="A149" s="348"/>
      <c r="B149" s="29" t="s">
        <v>1320</v>
      </c>
      <c r="C149" s="277"/>
      <c r="D149" s="69"/>
      <c r="E149" s="40"/>
      <c r="F149" s="28"/>
    </row>
    <row r="150" spans="1:6" s="41" customFormat="1" ht="38.25">
      <c r="A150" s="348"/>
      <c r="B150" s="29" t="s">
        <v>1319</v>
      </c>
      <c r="C150" s="277"/>
      <c r="D150" s="69"/>
      <c r="E150" s="40"/>
      <c r="F150" s="28"/>
    </row>
    <row r="151" spans="1:6" s="41" customFormat="1" ht="12.75">
      <c r="A151" s="346"/>
      <c r="B151" s="67" t="s">
        <v>1341</v>
      </c>
      <c r="C151" s="27"/>
      <c r="D151" s="27"/>
      <c r="E151" s="40"/>
      <c r="F151" s="28"/>
    </row>
    <row r="152" spans="1:6" s="41" customFormat="1" ht="25.5">
      <c r="A152" s="348" t="s">
        <v>39</v>
      </c>
      <c r="B152" s="7" t="s">
        <v>1346</v>
      </c>
      <c r="C152" s="277" t="s">
        <v>540</v>
      </c>
      <c r="D152" s="324">
        <v>1</v>
      </c>
      <c r="E152" s="40"/>
      <c r="F152" s="28"/>
    </row>
    <row r="153" spans="1:6" s="41" customFormat="1" ht="25.5">
      <c r="A153" s="348" t="s">
        <v>40</v>
      </c>
      <c r="B153" s="7" t="s">
        <v>1347</v>
      </c>
      <c r="C153" s="277" t="s">
        <v>540</v>
      </c>
      <c r="D153" s="324">
        <v>1</v>
      </c>
      <c r="E153" s="40"/>
      <c r="F153" s="28"/>
    </row>
    <row r="154" spans="1:6" s="41" customFormat="1" ht="38.25">
      <c r="A154" s="348" t="s">
        <v>41</v>
      </c>
      <c r="B154" s="7" t="s">
        <v>1348</v>
      </c>
      <c r="C154" s="277" t="s">
        <v>540</v>
      </c>
      <c r="D154" s="324">
        <v>1</v>
      </c>
      <c r="E154" s="40"/>
      <c r="F154" s="28"/>
    </row>
    <row r="155" spans="1:6" s="41" customFormat="1" ht="25.5">
      <c r="A155" s="348" t="s">
        <v>42</v>
      </c>
      <c r="B155" s="7" t="s">
        <v>1349</v>
      </c>
      <c r="C155" s="277" t="s">
        <v>540</v>
      </c>
      <c r="D155" s="324">
        <v>1</v>
      </c>
      <c r="E155" s="40"/>
      <c r="F155" s="28"/>
    </row>
    <row r="156" spans="1:6" s="41" customFormat="1" ht="25.5">
      <c r="A156" s="348" t="s">
        <v>43</v>
      </c>
      <c r="B156" s="7" t="s">
        <v>1350</v>
      </c>
      <c r="C156" s="277" t="s">
        <v>540</v>
      </c>
      <c r="D156" s="324">
        <v>1</v>
      </c>
      <c r="E156" s="40"/>
      <c r="F156" s="28"/>
    </row>
    <row r="157" spans="1:6" s="41" customFormat="1" ht="38.25">
      <c r="A157" s="348" t="s">
        <v>45</v>
      </c>
      <c r="B157" s="7" t="s">
        <v>1351</v>
      </c>
      <c r="C157" s="277" t="s">
        <v>540</v>
      </c>
      <c r="D157" s="324">
        <v>1</v>
      </c>
      <c r="E157" s="40"/>
      <c r="F157" s="28"/>
    </row>
    <row r="158" spans="1:6" s="41" customFormat="1" ht="12.75">
      <c r="A158" s="346"/>
      <c r="B158" s="67"/>
      <c r="C158" s="27"/>
      <c r="D158" s="27"/>
      <c r="E158" s="40"/>
      <c r="F158" s="28"/>
    </row>
    <row r="159" spans="1:6" ht="165.75">
      <c r="A159" s="343">
        <f>A142+1</f>
        <v>911</v>
      </c>
      <c r="B159" s="162" t="s">
        <v>1355</v>
      </c>
      <c r="C159" s="65"/>
      <c r="D159" s="27"/>
      <c r="E159" s="30"/>
      <c r="F159" s="30"/>
    </row>
    <row r="160" spans="1:6" ht="76.5">
      <c r="A160" s="343"/>
      <c r="B160" s="162" t="s">
        <v>1322</v>
      </c>
      <c r="C160" s="65"/>
      <c r="D160" s="27"/>
      <c r="E160" s="30"/>
      <c r="F160" s="30"/>
    </row>
    <row r="161" spans="1:6" ht="51">
      <c r="A161" s="343"/>
      <c r="B161" s="162" t="s">
        <v>1325</v>
      </c>
      <c r="C161" s="65"/>
      <c r="D161" s="27"/>
      <c r="E161" s="30"/>
      <c r="F161" s="30"/>
    </row>
    <row r="162" spans="1:6" ht="51">
      <c r="A162" s="343"/>
      <c r="B162" s="162" t="s">
        <v>1311</v>
      </c>
      <c r="C162" s="65"/>
      <c r="D162" s="27"/>
      <c r="E162" s="30"/>
      <c r="F162" s="30"/>
    </row>
    <row r="163" spans="1:6" ht="76.5">
      <c r="A163" s="343"/>
      <c r="B163" s="162" t="s">
        <v>1326</v>
      </c>
      <c r="C163" s="65"/>
      <c r="D163" s="27"/>
      <c r="E163" s="30"/>
      <c r="F163" s="30"/>
    </row>
    <row r="164" spans="1:6" ht="102">
      <c r="A164" s="343"/>
      <c r="B164" s="162" t="s">
        <v>1352</v>
      </c>
      <c r="C164" s="65"/>
      <c r="D164" s="27"/>
      <c r="E164" s="30"/>
      <c r="F164" s="30"/>
    </row>
    <row r="165" spans="1:6" s="41" customFormat="1" ht="114.75">
      <c r="A165" s="346"/>
      <c r="B165" s="29" t="s">
        <v>1353</v>
      </c>
      <c r="C165" s="27"/>
      <c r="D165" s="27"/>
      <c r="E165" s="40"/>
      <c r="F165" s="28"/>
    </row>
    <row r="166" spans="1:6" s="41" customFormat="1" ht="25.5">
      <c r="A166" s="346"/>
      <c r="B166" s="29" t="s">
        <v>1320</v>
      </c>
      <c r="C166" s="27"/>
      <c r="D166" s="27"/>
      <c r="E166" s="40"/>
      <c r="F166" s="28"/>
    </row>
    <row r="167" spans="1:6" s="41" customFormat="1" ht="38.25">
      <c r="A167" s="346"/>
      <c r="B167" s="29" t="s">
        <v>1319</v>
      </c>
      <c r="C167" s="27"/>
      <c r="D167" s="27"/>
      <c r="E167" s="40"/>
      <c r="F167" s="28"/>
    </row>
    <row r="168" spans="1:6" s="41" customFormat="1" ht="12.75">
      <c r="A168" s="346"/>
      <c r="B168" s="67" t="s">
        <v>1354</v>
      </c>
      <c r="C168" s="27"/>
      <c r="D168" s="27"/>
      <c r="E168" s="40"/>
      <c r="F168" s="28"/>
    </row>
    <row r="169" spans="1:6" s="41" customFormat="1" ht="38.25">
      <c r="A169" s="348" t="s">
        <v>39</v>
      </c>
      <c r="B169" s="7" t="s">
        <v>1356</v>
      </c>
      <c r="C169" s="277" t="s">
        <v>540</v>
      </c>
      <c r="D169" s="324">
        <v>1</v>
      </c>
      <c r="E169" s="40"/>
      <c r="F169" s="28"/>
    </row>
    <row r="170" spans="1:6" s="41" customFormat="1" ht="25.5">
      <c r="A170" s="348" t="s">
        <v>40</v>
      </c>
      <c r="B170" s="7" t="s">
        <v>1366</v>
      </c>
      <c r="C170" s="277" t="s">
        <v>540</v>
      </c>
      <c r="D170" s="324">
        <v>1</v>
      </c>
      <c r="E170" s="40"/>
      <c r="F170" s="28"/>
    </row>
    <row r="171" spans="1:6" s="41" customFormat="1" ht="38.25">
      <c r="A171" s="348" t="s">
        <v>41</v>
      </c>
      <c r="B171" s="7" t="s">
        <v>1365</v>
      </c>
      <c r="C171" s="277" t="s">
        <v>540</v>
      </c>
      <c r="D171" s="324">
        <v>1</v>
      </c>
      <c r="E171" s="40"/>
      <c r="F171" s="28"/>
    </row>
    <row r="172" spans="1:6" s="41" customFormat="1" ht="12.75">
      <c r="A172" s="348"/>
      <c r="B172" s="7"/>
      <c r="C172" s="277"/>
      <c r="D172" s="69"/>
      <c r="E172" s="40"/>
      <c r="F172" s="28"/>
    </row>
    <row r="173" spans="1:6" s="41" customFormat="1" ht="12.75">
      <c r="A173" s="346"/>
      <c r="B173" s="29"/>
      <c r="C173" s="27"/>
      <c r="D173" s="27"/>
      <c r="E173" s="40"/>
      <c r="F173" s="28"/>
    </row>
    <row r="174" spans="1:6" ht="165.75">
      <c r="A174" s="343">
        <f>A159+1</f>
        <v>912</v>
      </c>
      <c r="B174" s="162" t="s">
        <v>1357</v>
      </c>
      <c r="C174" s="65"/>
      <c r="D174" s="27"/>
      <c r="E174" s="30"/>
      <c r="F174" s="30"/>
    </row>
    <row r="175" spans="1:6" s="41" customFormat="1" ht="76.5">
      <c r="A175" s="346"/>
      <c r="B175" s="29" t="s">
        <v>1322</v>
      </c>
      <c r="C175" s="27"/>
      <c r="D175" s="27"/>
      <c r="E175" s="40"/>
      <c r="F175" s="28"/>
    </row>
    <row r="176" spans="1:6" s="41" customFormat="1" ht="51">
      <c r="A176" s="346"/>
      <c r="B176" s="29" t="s">
        <v>1323</v>
      </c>
      <c r="C176" s="27"/>
      <c r="D176" s="27"/>
      <c r="E176" s="40"/>
      <c r="F176" s="28"/>
    </row>
    <row r="177" spans="1:6" s="41" customFormat="1" ht="51">
      <c r="A177" s="346"/>
      <c r="B177" s="29" t="s">
        <v>1325</v>
      </c>
      <c r="C177" s="27"/>
      <c r="D177" s="27"/>
      <c r="E177" s="40"/>
      <c r="F177" s="28"/>
    </row>
    <row r="178" spans="1:6" s="41" customFormat="1" ht="51">
      <c r="A178" s="346"/>
      <c r="B178" s="29" t="s">
        <v>1324</v>
      </c>
      <c r="C178" s="27"/>
      <c r="D178" s="27"/>
      <c r="E178" s="40"/>
      <c r="F178" s="28"/>
    </row>
    <row r="179" spans="1:6" s="41" customFormat="1" ht="114.75">
      <c r="A179" s="346"/>
      <c r="B179" s="29" t="s">
        <v>1358</v>
      </c>
      <c r="C179" s="27"/>
      <c r="D179" s="27"/>
      <c r="E179" s="40"/>
      <c r="F179" s="28"/>
    </row>
    <row r="180" spans="1:6" s="41" customFormat="1" ht="63.75">
      <c r="A180" s="346"/>
      <c r="B180" s="29" t="s">
        <v>1336</v>
      </c>
      <c r="C180" s="27"/>
      <c r="D180" s="27"/>
      <c r="E180" s="40"/>
      <c r="F180" s="28"/>
    </row>
    <row r="181" spans="1:6" s="41" customFormat="1" ht="114.75">
      <c r="A181" s="346"/>
      <c r="B181" s="29" t="s">
        <v>1353</v>
      </c>
      <c r="C181" s="27"/>
      <c r="D181" s="27"/>
      <c r="E181" s="40"/>
      <c r="F181" s="28"/>
    </row>
    <row r="182" spans="1:6" s="41" customFormat="1" ht="25.5">
      <c r="A182" s="346"/>
      <c r="B182" s="29" t="s">
        <v>1320</v>
      </c>
      <c r="C182" s="27"/>
      <c r="D182" s="27"/>
      <c r="E182" s="40"/>
      <c r="F182" s="28"/>
    </row>
    <row r="183" spans="1:6" s="41" customFormat="1" ht="38.25">
      <c r="A183" s="346"/>
      <c r="B183" s="29" t="s">
        <v>1319</v>
      </c>
      <c r="C183" s="27"/>
      <c r="D183" s="27"/>
      <c r="E183" s="40"/>
      <c r="F183" s="28"/>
    </row>
    <row r="184" spans="1:6" s="41" customFormat="1" ht="12.75">
      <c r="A184" s="342"/>
      <c r="B184" s="67" t="s">
        <v>287</v>
      </c>
      <c r="C184" s="27"/>
      <c r="D184" s="27"/>
      <c r="E184" s="40"/>
      <c r="F184" s="28"/>
    </row>
    <row r="185" spans="1:6" s="41" customFormat="1" ht="25.5">
      <c r="A185" s="348" t="s">
        <v>39</v>
      </c>
      <c r="B185" s="7" t="s">
        <v>1364</v>
      </c>
      <c r="C185" s="277" t="s">
        <v>540</v>
      </c>
      <c r="D185" s="324">
        <v>1</v>
      </c>
      <c r="E185" s="40"/>
      <c r="F185" s="28"/>
    </row>
    <row r="186" spans="1:6" s="41" customFormat="1" ht="63.75">
      <c r="A186" s="348" t="s">
        <v>40</v>
      </c>
      <c r="B186" s="11" t="s">
        <v>1363</v>
      </c>
      <c r="C186" s="277" t="s">
        <v>540</v>
      </c>
      <c r="D186" s="324">
        <v>1</v>
      </c>
      <c r="E186" s="40"/>
      <c r="F186" s="28"/>
    </row>
    <row r="187" spans="1:6" s="41" customFormat="1" ht="38.25">
      <c r="A187" s="348" t="s">
        <v>41</v>
      </c>
      <c r="B187" s="7" t="s">
        <v>1362</v>
      </c>
      <c r="C187" s="277" t="s">
        <v>540</v>
      </c>
      <c r="D187" s="324">
        <v>1</v>
      </c>
      <c r="E187" s="40"/>
      <c r="F187" s="28"/>
    </row>
    <row r="188" spans="1:6" s="41" customFormat="1" ht="12.75">
      <c r="A188" s="348"/>
      <c r="B188" s="7"/>
      <c r="C188" s="277"/>
      <c r="D188" s="69"/>
      <c r="E188" s="40"/>
      <c r="F188" s="28"/>
    </row>
    <row r="189" spans="1:6" s="41" customFormat="1" ht="178.5">
      <c r="A189" s="343">
        <f>A174+1</f>
        <v>913</v>
      </c>
      <c r="B189" s="7" t="s">
        <v>1359</v>
      </c>
      <c r="C189" s="277"/>
      <c r="D189" s="69"/>
      <c r="E189" s="40"/>
      <c r="F189" s="28"/>
    </row>
    <row r="190" spans="1:6" s="41" customFormat="1" ht="114.75">
      <c r="A190" s="348"/>
      <c r="B190" s="7" t="s">
        <v>1360</v>
      </c>
      <c r="C190" s="277"/>
      <c r="D190" s="69"/>
      <c r="E190" s="40"/>
      <c r="F190" s="28"/>
    </row>
    <row r="191" spans="1:6" s="41" customFormat="1" ht="51">
      <c r="A191" s="348"/>
      <c r="B191" s="7" t="s">
        <v>1323</v>
      </c>
      <c r="C191" s="277"/>
      <c r="D191" s="69"/>
      <c r="E191" s="40"/>
      <c r="F191" s="28"/>
    </row>
    <row r="192" spans="1:6" s="41" customFormat="1" ht="51">
      <c r="A192" s="348"/>
      <c r="B192" s="7" t="s">
        <v>1325</v>
      </c>
      <c r="C192" s="277"/>
      <c r="D192" s="69"/>
      <c r="E192" s="40"/>
      <c r="F192" s="28"/>
    </row>
    <row r="193" spans="1:6" s="41" customFormat="1" ht="51">
      <c r="A193" s="348"/>
      <c r="B193" s="7" t="s">
        <v>1335</v>
      </c>
      <c r="C193" s="277"/>
      <c r="D193" s="69"/>
      <c r="E193" s="40"/>
      <c r="F193" s="28"/>
    </row>
    <row r="194" spans="1:6" s="41" customFormat="1" ht="114.75">
      <c r="A194" s="348"/>
      <c r="B194" s="7" t="s">
        <v>1358</v>
      </c>
      <c r="C194" s="277"/>
      <c r="D194" s="69"/>
      <c r="E194" s="40"/>
      <c r="F194" s="28"/>
    </row>
    <row r="195" spans="1:6" s="41" customFormat="1" ht="165.75">
      <c r="A195" s="348"/>
      <c r="B195" s="7" t="s">
        <v>1361</v>
      </c>
      <c r="C195" s="277"/>
      <c r="D195" s="69"/>
      <c r="E195" s="40"/>
      <c r="F195" s="28"/>
    </row>
    <row r="196" spans="1:6" s="41" customFormat="1" ht="25.5">
      <c r="A196" s="346"/>
      <c r="B196" s="29" t="s">
        <v>780</v>
      </c>
      <c r="C196" s="27"/>
      <c r="D196" s="27"/>
      <c r="E196" s="40"/>
      <c r="F196" s="28"/>
    </row>
    <row r="197" spans="1:6" s="41" customFormat="1" ht="38.25">
      <c r="A197" s="346"/>
      <c r="B197" s="29" t="s">
        <v>1319</v>
      </c>
      <c r="C197" s="27"/>
      <c r="D197" s="27"/>
      <c r="E197" s="40"/>
      <c r="F197" s="28"/>
    </row>
    <row r="198" spans="1:6" s="41" customFormat="1" ht="12.75">
      <c r="A198" s="342"/>
      <c r="B198" s="67" t="s">
        <v>287</v>
      </c>
      <c r="C198" s="27"/>
      <c r="D198" s="27"/>
      <c r="E198" s="40"/>
      <c r="F198" s="28"/>
    </row>
    <row r="199" spans="1:6" s="41" customFormat="1" ht="51">
      <c r="A199" s="348" t="s">
        <v>39</v>
      </c>
      <c r="B199" s="11" t="s">
        <v>1367</v>
      </c>
      <c r="C199" s="277" t="s">
        <v>540</v>
      </c>
      <c r="D199" s="324">
        <v>1</v>
      </c>
      <c r="E199" s="40"/>
      <c r="F199" s="28"/>
    </row>
    <row r="200" spans="1:6" s="41" customFormat="1" ht="51">
      <c r="A200" s="348" t="s">
        <v>40</v>
      </c>
      <c r="B200" s="11" t="s">
        <v>1368</v>
      </c>
      <c r="C200" s="277" t="s">
        <v>540</v>
      </c>
      <c r="D200" s="324">
        <v>1</v>
      </c>
      <c r="E200" s="40"/>
      <c r="F200" s="28"/>
    </row>
    <row r="201" spans="1:6" s="41" customFormat="1" ht="12.75">
      <c r="A201" s="348"/>
      <c r="B201" s="7"/>
      <c r="C201" s="277"/>
      <c r="D201" s="324"/>
      <c r="E201" s="320"/>
      <c r="F201" s="321"/>
    </row>
    <row r="202" spans="1:6" s="41" customFormat="1" ht="12.75">
      <c r="A202" s="348"/>
      <c r="B202" s="11" t="s">
        <v>1370</v>
      </c>
      <c r="C202" s="277"/>
      <c r="D202" s="324"/>
      <c r="E202" s="320"/>
      <c r="F202" s="321"/>
    </row>
    <row r="203" spans="1:6" s="41" customFormat="1" ht="76.5">
      <c r="A203" s="342">
        <f>A189+1</f>
        <v>914</v>
      </c>
      <c r="B203" s="38" t="s">
        <v>1162</v>
      </c>
      <c r="C203" s="27"/>
      <c r="D203" s="192"/>
      <c r="E203" s="40"/>
      <c r="F203" s="28"/>
    </row>
    <row r="204" spans="1:6" s="41" customFormat="1" ht="25.5">
      <c r="A204" s="342"/>
      <c r="B204" s="38" t="s">
        <v>1165</v>
      </c>
      <c r="C204" s="27"/>
      <c r="D204" s="192"/>
      <c r="E204" s="40"/>
      <c r="F204" s="28"/>
    </row>
    <row r="205" spans="1:6" s="41" customFormat="1" ht="12.75">
      <c r="A205" s="342"/>
      <c r="B205" s="89" t="s">
        <v>1163</v>
      </c>
      <c r="C205" s="27" t="s">
        <v>502</v>
      </c>
      <c r="D205" s="192">
        <f>180.65+3.1*2+88+147.1</f>
        <v>421.95000000000005</v>
      </c>
      <c r="E205" s="40"/>
      <c r="F205" s="28"/>
    </row>
    <row r="206" spans="1:6" s="41" customFormat="1" ht="12.75">
      <c r="A206" s="344"/>
      <c r="B206" s="188"/>
      <c r="C206" s="27"/>
      <c r="D206" s="192"/>
      <c r="E206" s="40"/>
      <c r="F206" s="28"/>
    </row>
    <row r="207" spans="1:6" s="41" customFormat="1" ht="12.75">
      <c r="A207" s="344"/>
      <c r="B207" s="188" t="s">
        <v>1369</v>
      </c>
      <c r="C207" s="27"/>
      <c r="D207" s="192"/>
      <c r="E207" s="40"/>
      <c r="F207" s="28"/>
    </row>
    <row r="208" spans="1:6" s="41" customFormat="1" ht="102">
      <c r="A208" s="342">
        <f>A203+1</f>
        <v>915</v>
      </c>
      <c r="B208" s="276" t="s">
        <v>506</v>
      </c>
      <c r="C208" s="27"/>
      <c r="D208" s="192"/>
      <c r="E208" s="40"/>
      <c r="F208" s="28"/>
    </row>
    <row r="209" spans="1:6" s="41" customFormat="1" ht="12.75">
      <c r="A209" s="342"/>
      <c r="B209" s="276" t="s">
        <v>505</v>
      </c>
      <c r="C209" s="27" t="s">
        <v>406</v>
      </c>
      <c r="D209" s="192">
        <f>17.2*(133.5+5.3*2*2)*1.02+(693+683+63.3+12*5.3*2+700+568.6+(19.11+26)*10.2)*1.02+(180.65*15.2+59.6*15.1)*1.02</f>
        <v>9793.940040000001</v>
      </c>
      <c r="E209" s="40"/>
      <c r="F209" s="28"/>
    </row>
    <row r="210" spans="1:6" s="41" customFormat="1" ht="38.25">
      <c r="A210" s="342"/>
      <c r="B210" s="89" t="s">
        <v>1161</v>
      </c>
      <c r="C210" s="27"/>
      <c r="D210" s="192"/>
      <c r="E210" s="40"/>
      <c r="F210" s="28"/>
    </row>
    <row r="211" spans="1:6" s="41" customFormat="1" ht="12.75">
      <c r="A211" s="346"/>
      <c r="B211" s="29"/>
      <c r="C211" s="65"/>
      <c r="D211" s="27"/>
      <c r="E211" s="30"/>
      <c r="F211" s="30"/>
    </row>
    <row r="212" spans="1:6" s="41" customFormat="1" ht="12.75">
      <c r="A212" s="349">
        <f>A4</f>
        <v>900</v>
      </c>
      <c r="B212" s="33" t="str">
        <f>B4</f>
        <v>FASADERSKI RADOVI</v>
      </c>
      <c r="C212" s="66" t="s">
        <v>1485</v>
      </c>
      <c r="D212" s="13"/>
      <c r="E212" s="14"/>
      <c r="F212" s="15"/>
    </row>
    <row r="213" spans="1:6" s="41" customFormat="1" ht="12.75">
      <c r="A213" s="350"/>
      <c r="B213" s="42"/>
      <c r="C213" s="64"/>
      <c r="D213" s="2"/>
      <c r="E213" s="2"/>
      <c r="F213" s="2"/>
    </row>
    <row r="214" spans="1:6" s="41" customFormat="1" ht="12.75">
      <c r="A214" s="350"/>
      <c r="B214" s="11"/>
      <c r="C214" s="64"/>
      <c r="D214" s="2"/>
      <c r="E214" s="2"/>
      <c r="F214" s="2"/>
    </row>
    <row r="215" spans="1:6" s="41" customFormat="1" ht="12.75">
      <c r="A215" s="346"/>
      <c r="B215" s="29"/>
      <c r="C215" s="65"/>
      <c r="D215" s="27"/>
      <c r="E215" s="30"/>
      <c r="F215" s="30"/>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4" manualBreakCount="4">
    <brk id="20" max="5" man="1"/>
    <brk id="32" max="5" man="1"/>
    <brk id="97" max="5" man="1"/>
    <brk id="205" max="5" man="1"/>
  </rowBreaks>
</worksheet>
</file>

<file path=xl/worksheets/sheet12.xml><?xml version="1.0" encoding="utf-8"?>
<worksheet xmlns="http://schemas.openxmlformats.org/spreadsheetml/2006/main" xmlns:r="http://schemas.openxmlformats.org/officeDocument/2006/relationships">
  <dimension ref="A1:F130"/>
  <sheetViews>
    <sheetView zoomScaleSheetLayoutView="110" zoomScalePageLayoutView="0" workbookViewId="0" topLeftCell="A1">
      <pane ySplit="2" topLeftCell="A99" activePane="bottomLeft" state="frozen"/>
      <selection pane="topLeft" activeCell="C203" sqref="C203"/>
      <selection pane="bottomLeft" activeCell="C203" sqref="C203"/>
    </sheetView>
  </sheetViews>
  <sheetFormatPr defaultColWidth="8.88671875" defaultRowHeight="15"/>
  <cols>
    <col min="1" max="1" width="5.77734375" style="140" customWidth="1"/>
    <col min="2" max="2" width="35.77734375" style="98" customWidth="1"/>
    <col min="3" max="3" width="7.77734375" style="138" customWidth="1"/>
    <col min="4" max="4" width="7.77734375" style="98" customWidth="1"/>
    <col min="5" max="5" width="10.77734375" style="98" customWidth="1"/>
    <col min="6" max="6" width="12.77734375" style="98" customWidth="1"/>
    <col min="7" max="16384" width="8.88671875" style="98" customWidth="1"/>
  </cols>
  <sheetData>
    <row r="1" spans="1:6" ht="25.5" customHeight="1">
      <c r="A1" s="102" t="s">
        <v>6</v>
      </c>
      <c r="B1" s="103" t="s">
        <v>7</v>
      </c>
      <c r="C1" s="104" t="s">
        <v>8</v>
      </c>
      <c r="D1" s="105" t="s">
        <v>9</v>
      </c>
      <c r="E1" s="106" t="s">
        <v>1481</v>
      </c>
      <c r="F1" s="105" t="s">
        <v>1482</v>
      </c>
    </row>
    <row r="2" spans="1:6" ht="12.75">
      <c r="A2" s="107" t="s">
        <v>0</v>
      </c>
      <c r="B2" s="103" t="s">
        <v>1</v>
      </c>
      <c r="C2" s="108" t="s">
        <v>2</v>
      </c>
      <c r="D2" s="103" t="s">
        <v>3</v>
      </c>
      <c r="E2" s="103" t="s">
        <v>4</v>
      </c>
      <c r="F2" s="103" t="s">
        <v>5</v>
      </c>
    </row>
    <row r="3" spans="1:6" ht="12.75">
      <c r="A3" s="109"/>
      <c r="B3" s="110"/>
      <c r="C3" s="111"/>
      <c r="D3" s="110"/>
      <c r="E3" s="110"/>
      <c r="F3" s="110"/>
    </row>
    <row r="4" spans="1:6" ht="12.75">
      <c r="A4" s="152">
        <f>'fasaderski radovi'!A212+100</f>
        <v>1000</v>
      </c>
      <c r="B4" s="176" t="s">
        <v>85</v>
      </c>
      <c r="C4" s="112"/>
      <c r="D4" s="113"/>
      <c r="E4" s="113"/>
      <c r="F4" s="113"/>
    </row>
    <row r="5" spans="1:6" ht="12.75">
      <c r="A5" s="114"/>
      <c r="B5" s="115"/>
      <c r="C5" s="100"/>
      <c r="D5" s="99"/>
      <c r="E5" s="99"/>
      <c r="F5" s="99"/>
    </row>
    <row r="6" spans="1:6" ht="25.5">
      <c r="A6" s="114"/>
      <c r="B6" s="178" t="s">
        <v>86</v>
      </c>
      <c r="C6" s="100"/>
      <c r="D6" s="99"/>
      <c r="E6" s="99"/>
      <c r="F6" s="99"/>
    </row>
    <row r="7" spans="1:6" ht="12.75">
      <c r="A7" s="114"/>
      <c r="B7" s="178"/>
      <c r="C7" s="100"/>
      <c r="D7" s="99"/>
      <c r="E7" s="99"/>
      <c r="F7" s="99"/>
    </row>
    <row r="8" spans="1:2" ht="63.75">
      <c r="A8" s="116">
        <f>A4+1</f>
        <v>1001</v>
      </c>
      <c r="B8" s="178" t="s">
        <v>207</v>
      </c>
    </row>
    <row r="9" spans="1:2" ht="12.75">
      <c r="A9" s="116"/>
      <c r="B9" s="179" t="s">
        <v>87</v>
      </c>
    </row>
    <row r="10" spans="1:6" ht="25.5">
      <c r="A10" s="118"/>
      <c r="B10" s="178" t="s">
        <v>109</v>
      </c>
      <c r="C10" s="119"/>
      <c r="D10" s="120"/>
      <c r="E10" s="126"/>
      <c r="F10" s="127"/>
    </row>
    <row r="11" ht="12.75">
      <c r="A11" s="118"/>
    </row>
    <row r="12" spans="1:2" ht="12.75">
      <c r="A12" s="114" t="s">
        <v>19</v>
      </c>
      <c r="B12" s="166" t="s">
        <v>287</v>
      </c>
    </row>
    <row r="13" spans="1:4" ht="63.75">
      <c r="A13" s="118"/>
      <c r="B13" s="178" t="s">
        <v>1184</v>
      </c>
      <c r="C13" s="120" t="s">
        <v>11</v>
      </c>
      <c r="D13" s="97">
        <f>(3.6*(16.7+33.9+13.02+18.22+10.93+16.29+13.51+15.22+27.66+13.35+14.3+15.32)+4.7*(8.6+9)-(4*2.4-3)*4+0.25*(4+2.4)*2*4-(2*2.4-3)+0.25*(2+2.4)*2-(1.6*2.15-3))*1.01</f>
        <v>827.5859200000001</v>
      </c>
    </row>
    <row r="14" spans="1:4" ht="51">
      <c r="A14" s="118"/>
      <c r="B14" s="180" t="s">
        <v>1185</v>
      </c>
      <c r="C14" s="120" t="s">
        <v>11</v>
      </c>
      <c r="D14" s="97">
        <f>(3.1*(146.61-2.1*2+18)+2.9*(16.8+17-2.1*4)-(5.6*2.5-3)*4+0.25*(5.6+2.5)*2*4-(3.25*3-3)*2-(4*2.5-3)*5+0.25*(4+2.5)*2*5-(2*2.5-3)*8+0.25*(2+2.5)*2*8-(3*2.5-3)*4+0.25*(3+2.5)*2*4)*1.01</f>
        <v>510.9398100000001</v>
      </c>
    </row>
    <row r="15" spans="1:4" ht="63.75">
      <c r="A15" s="118"/>
      <c r="B15" s="180" t="s">
        <v>1186</v>
      </c>
      <c r="C15" s="120" t="s">
        <v>11</v>
      </c>
      <c r="D15" s="167">
        <f>(2.9*(81.56+17.2+17.39-1.95*4+16.69)+5.82*(8.9+9+129.73)-(5.6*2.5-3)*4+0.25*(5.6+2.5)*2*4-(4*2.5-3)*5+0.25*(4+2.5)*2*5-(1*2.5*2+2*3-3)+0.25*(4+1*2+3*2)*4-(5.6*3.75-3)*2+0.25*(5.6+3.75)*2*2)*1.01</f>
        <v>1164.1488259999999</v>
      </c>
    </row>
    <row r="16" spans="1:6" ht="12.75">
      <c r="A16" s="118"/>
      <c r="B16" s="178" t="s">
        <v>1187</v>
      </c>
      <c r="C16" s="168" t="s">
        <v>11</v>
      </c>
      <c r="D16" s="169">
        <f>((4.7+3.78+3.6)*18)*1.01</f>
        <v>219.6144</v>
      </c>
      <c r="E16" s="101"/>
      <c r="F16" s="101"/>
    </row>
    <row r="17" spans="1:6" ht="12.75">
      <c r="A17" s="118"/>
      <c r="C17" s="120" t="s">
        <v>11</v>
      </c>
      <c r="D17" s="170">
        <f>SUM(D13:D16)</f>
        <v>2722.288956</v>
      </c>
      <c r="E17" s="126"/>
      <c r="F17" s="127"/>
    </row>
    <row r="18" spans="1:6" ht="12.75">
      <c r="A18" s="118"/>
      <c r="C18" s="120"/>
      <c r="D18" s="170"/>
      <c r="E18" s="126"/>
      <c r="F18" s="127"/>
    </row>
    <row r="19" spans="1:2" ht="12.75">
      <c r="A19" s="114" t="s">
        <v>76</v>
      </c>
      <c r="B19" s="166" t="s">
        <v>157</v>
      </c>
    </row>
    <row r="20" spans="1:4" ht="76.5">
      <c r="A20" s="114"/>
      <c r="B20" s="171" t="s">
        <v>1188</v>
      </c>
      <c r="C20" s="120" t="s">
        <v>11</v>
      </c>
      <c r="D20" s="175">
        <f>(3.8*(15.7+23.86+9.1*2+6.74+31.73+10.12+13.04+15.77+10.1*7+11.58*2+11.46+19.32+14.28+13.86+10.06+14.18+10.64)+3.48*(32.66+14.3+16.27+13.49+90.8+11.57+13.75+13.73+26.48+10.94*2+15.03+13.55+12.12))*1.01</f>
        <v>2278.063484</v>
      </c>
    </row>
    <row r="21" spans="1:6" ht="102">
      <c r="A21" s="118"/>
      <c r="B21" s="171" t="s">
        <v>1189</v>
      </c>
      <c r="C21" s="120" t="s">
        <v>11</v>
      </c>
      <c r="D21" s="170">
        <f>(4.75*(9.09*2+9.7+8.3+45.32+9.32+17.47)+3.6*(71.41+11.5+19.51+17.38+15.05+26.92+18.92+17.92+29.38-2.75-3-5.55)+3.1*(54.8+38.9+13+10.07+96.88-5.55)-(4*2-3)*11+0.25*(4+2)*2*11-(2*2-3)+0.25*(2*4)-(5.37*3.5-3)-(5.32*3.5-3)*1-(1.6*2.15-3)*6-(2*2.15-3)-(4.05*2.5-3)*6+0.25*(4.05+2.5)*2*6-(3.05*2.5-3)+0.25*(3.05+2.5)*2)*1.01</f>
        <v>1876.8491649999999</v>
      </c>
      <c r="E21" s="126"/>
      <c r="F21" s="127"/>
    </row>
    <row r="22" spans="1:6" ht="114.75">
      <c r="A22" s="118"/>
      <c r="B22" s="316" t="s">
        <v>1190</v>
      </c>
      <c r="C22" s="120" t="s">
        <v>11</v>
      </c>
      <c r="D22" s="170">
        <f>(3.1*(45.84+16.63+16.01+14.61+14.94+14.89+16.06*2+12.12*3+19.26+18.53+19.71+13.1+12.55+12.53+13.11+14.95+14.92+13.16+20.52-3.05*2)+2.9*(25.46+46.33+70.71+143.11-3.05*3-2*3)+3.75*(9.09*2+8.3*2+85.76+8.49+12.2)+2.7*(14.93+16.91)-(2.05*2.5-3)+0.25*(2.05+2.5)*2-(2*2.5-3)-(4.05*2.5-3)*2+0.25*(4.05+2.5)*2*2-(1.6*2.15-3)*4)*1.01</f>
        <v>2522.2613850000002</v>
      </c>
      <c r="E22" s="126"/>
      <c r="F22" s="127"/>
    </row>
    <row r="23" spans="1:6" ht="114.75">
      <c r="A23" s="118"/>
      <c r="B23" s="316" t="s">
        <v>1191</v>
      </c>
      <c r="C23" s="168" t="s">
        <v>11</v>
      </c>
      <c r="D23" s="181">
        <f>(3.1*(43.27+14.8+12+13.49+28.42+18.56+13.49+17.51+16.93+11+15.69+15.13+19.09*2+9.4+20.46+14.24+11.98+18.92+13.02+17.62+12.82+12.76+17.52+19.01-3.05*4-2*4)+3.75*(9.09*2+8.3*2)+2.7*(10.74+15.05)+2.9*(135.36+149.36)-(1.6*2.8-3)-(4.5*2.5-3)*5+0.25*(4.5+2.5)*2*5-(3.05*2.5-3)+0.25*(3.05+2.5)*2-(2.05*2.5-3))*1.01</f>
        <v>2277.75503</v>
      </c>
      <c r="E23" s="213"/>
      <c r="F23" s="214"/>
    </row>
    <row r="24" spans="1:6" ht="12.75">
      <c r="A24" s="118"/>
      <c r="C24" s="120" t="s">
        <v>11</v>
      </c>
      <c r="D24" s="170">
        <f>SUM(D20:D23)</f>
        <v>8954.929064</v>
      </c>
      <c r="E24" s="126"/>
      <c r="F24" s="127"/>
    </row>
    <row r="25" spans="1:6" ht="12.75">
      <c r="A25" s="114" t="s">
        <v>194</v>
      </c>
      <c r="B25" s="240" t="s">
        <v>338</v>
      </c>
      <c r="C25" s="120"/>
      <c r="D25" s="170"/>
      <c r="E25" s="126"/>
      <c r="F25" s="127"/>
    </row>
    <row r="26" spans="1:4" ht="63.75">
      <c r="A26" s="114"/>
      <c r="B26" s="171" t="s">
        <v>1192</v>
      </c>
      <c r="C26" s="120" t="s">
        <v>11</v>
      </c>
      <c r="D26" s="175">
        <f>(2.9*(18.96+57.4+81.22+41.44+13.16)+3.1*25.16+3.97*(12.15+12.07+12.04)+2.2*(24.04+14.6)+3.87*26+2.7*(15.86+20.22+14.36)-(2*2.15-3)*2-(2.3*2.15-3)-(2.68*2.15-3)-(5.6*2.15-3)*2-(1.6*2.15-3)*5)*1.01</f>
        <v>1142.8141920000003</v>
      </c>
    </row>
    <row r="27" spans="1:6" ht="89.25">
      <c r="A27" s="118"/>
      <c r="B27" s="171" t="s">
        <v>1193</v>
      </c>
      <c r="C27" s="120" t="s">
        <v>11</v>
      </c>
      <c r="D27" s="170">
        <f>(3.6*(16.7+145.48+34.21+52.5+59.34+35.06+18.78+31.74+17.08+13.23+16.85-9.81*2-8.8*2)+4.5*(11.95+12.04)-(2.7*5.3-3)+0.2*(2.7+5.3)*2-(2.5*5.3-3)+0.2*(2.5+5.3)*2-(2.7*5.4-3)+0.2*(2.7+5.4)*2-(2.5*5.4-3)+0.2*(2.5+5.4)*2-(1.6*2.15-3)*7-(3.05*2.5-3)*2-(2.1*2.15-3)*2)*1.01</f>
        <v>1530.3267500000004</v>
      </c>
      <c r="E27" s="126"/>
      <c r="F27" s="127"/>
    </row>
    <row r="28" spans="1:6" ht="89.25">
      <c r="A28" s="118"/>
      <c r="B28" s="171" t="s">
        <v>1194</v>
      </c>
      <c r="C28" s="120" t="s">
        <v>11</v>
      </c>
      <c r="D28" s="170">
        <f>(3.1*(170.35+18.5+7.3+430.12)+3.82*10.65*2-(5.6*3.1-3)*5+0.2*(5.6+3.1)*2*5-(2.6*3.1-3)*3+0.2*(2.6+3.1)*2*3-(8.95*3.1-3)+0.2*(8.95+3.1)*2-(3*3.1-3)+0.2*(3+3.1)*2*1-(3.05*2.15-3)*4+0.2*(3.05+2.15)*2*4-(5.14-3)*2+0.2*(1.72+3)*2*2)*1.01</f>
        <v>1949.16264</v>
      </c>
      <c r="E28" s="126"/>
      <c r="F28" s="127"/>
    </row>
    <row r="29" spans="1:6" ht="76.5">
      <c r="A29" s="118"/>
      <c r="B29" s="171" t="s">
        <v>1195</v>
      </c>
      <c r="C29" s="168" t="s">
        <v>11</v>
      </c>
      <c r="D29" s="181">
        <f>(3.1*(195.66+18.5+8.1+388.4)+3.82*10.65*2-(5.6*3.1-3)*5+0.2*(5.6+3.1)*2*5-(2.6*3.1-3)*3+0.2*(2.6+3.1)*2*3-(8.95*3.1-3)+0.2*(8.95+3.1)*2-(3*3.1-3)+0.2*(3+3.1)*2*1-(3.05*2.15-3)*4+0.2*(3.05+2.15)*2*4-(5.14-3)*2+0.2*(1.72+3)*2*2)*1.01</f>
        <v>1900.2877300000002</v>
      </c>
      <c r="E29" s="213"/>
      <c r="F29" s="214"/>
    </row>
    <row r="30" spans="1:6" ht="12.75">
      <c r="A30" s="118"/>
      <c r="C30" s="120" t="s">
        <v>11</v>
      </c>
      <c r="D30" s="170">
        <f>SUM(D26:D29)</f>
        <v>6522.5913120000005</v>
      </c>
      <c r="E30" s="126"/>
      <c r="F30" s="127"/>
    </row>
    <row r="31" spans="1:6" ht="12.75">
      <c r="A31" s="118"/>
      <c r="C31" s="120"/>
      <c r="D31" s="170"/>
      <c r="E31" s="126"/>
      <c r="F31" s="127"/>
    </row>
    <row r="32" spans="1:6" ht="127.5">
      <c r="A32" s="118">
        <f>A8+1</f>
        <v>1002</v>
      </c>
      <c r="B32" s="178" t="s">
        <v>88</v>
      </c>
      <c r="C32" s="119"/>
      <c r="D32" s="120"/>
      <c r="E32" s="126"/>
      <c r="F32" s="127"/>
    </row>
    <row r="33" spans="1:6" ht="25.5">
      <c r="A33" s="118"/>
      <c r="B33" s="178" t="s">
        <v>109</v>
      </c>
      <c r="C33" s="119"/>
      <c r="D33" s="120"/>
      <c r="E33" s="126"/>
      <c r="F33" s="127"/>
    </row>
    <row r="34" spans="1:6" ht="12.75">
      <c r="A34" s="118"/>
      <c r="B34" s="178" t="s">
        <v>87</v>
      </c>
      <c r="C34" s="119"/>
      <c r="D34" s="120"/>
      <c r="E34" s="127"/>
      <c r="F34" s="127"/>
    </row>
    <row r="35" spans="1:6" ht="11.25" customHeight="1">
      <c r="A35" s="118"/>
      <c r="B35" s="178"/>
      <c r="C35" s="119"/>
      <c r="D35" s="120"/>
      <c r="E35" s="121"/>
      <c r="F35" s="121"/>
    </row>
    <row r="36" spans="1:2" ht="12.75">
      <c r="A36" s="118" t="s">
        <v>19</v>
      </c>
      <c r="B36" s="166" t="s">
        <v>287</v>
      </c>
    </row>
    <row r="37" spans="1:6" ht="89.25">
      <c r="A37" s="118"/>
      <c r="B37" s="178" t="s">
        <v>1196</v>
      </c>
      <c r="C37" s="168" t="s">
        <v>11</v>
      </c>
      <c r="D37" s="169">
        <f>(3.6*(31.29+15.83+14.96+22.77+13.5+11.9+29.17+27.84+21.14+22.36+13.65+22.77+21.68)+3.1*(34.42+26.28+47.62+96.39+11)-(2*2.4-3)+0.25*(2+2.4)*2-(3*2.4-3)+0.25*(3+2.4)*2*1-(4*2.4-3)*5+0.25*(4+2.4)*2*8-(1.6*3-3)*7-(3.2*3.5-3)*2-(3.03*3.5-3)*2-(5.5*3.5-3))*1.01</f>
        <v>1583.31337</v>
      </c>
      <c r="E37" s="101"/>
      <c r="F37" s="101"/>
    </row>
    <row r="38" spans="1:6" ht="12.75">
      <c r="A38" s="118"/>
      <c r="C38" s="120" t="s">
        <v>11</v>
      </c>
      <c r="D38" s="170">
        <f>SUM(D37:D37)</f>
        <v>1583.31337</v>
      </c>
      <c r="E38" s="126"/>
      <c r="F38" s="127"/>
    </row>
    <row r="39" spans="1:6" s="263" customFormat="1" ht="11.25">
      <c r="A39" s="259"/>
      <c r="C39" s="261"/>
      <c r="D39" s="268"/>
      <c r="E39" s="269"/>
      <c r="F39" s="265"/>
    </row>
    <row r="40" spans="1:6" ht="12.75">
      <c r="A40" s="114" t="s">
        <v>76</v>
      </c>
      <c r="B40" s="166" t="s">
        <v>157</v>
      </c>
      <c r="C40" s="120"/>
      <c r="D40" s="170"/>
      <c r="E40" s="126"/>
      <c r="F40" s="127"/>
    </row>
    <row r="41" spans="1:4" ht="63.75">
      <c r="A41" s="118"/>
      <c r="B41" s="178" t="s">
        <v>1197</v>
      </c>
      <c r="C41" s="120" t="s">
        <v>11</v>
      </c>
      <c r="D41" s="97">
        <f>(3.1*(23.85+67.06+12.2+11.1)+3.6*(41.74+34.22+26.82*2+23.72+30.64+31.54+28.14+39.35)-(1.8*2.15-3)*10-(4.05*2.5-3)*5+0.25*(4.05+2.5)*2*5-(1.7*3.5-3))*1.01</f>
        <v>1355.3341500000001</v>
      </c>
    </row>
    <row r="42" spans="1:4" ht="63.75">
      <c r="A42" s="118"/>
      <c r="B42" s="180" t="s">
        <v>1198</v>
      </c>
      <c r="C42" s="120" t="s">
        <v>11</v>
      </c>
      <c r="D42" s="97">
        <f>(3.1*(19.29+22.41+14.22+14.82+26.56+23.6+23.59+18.54+19.04*2+18.6+18.62+15.71+16.02+15.63+13.15+14.08+10.06)-(2.05*2.5-3)*2+0.25*(2.05+2.5)*2*2-(4.05*2.5-3)*2+0.25*(4.05+2.5)*2*2-(2*2.5-3)*2)*1.01</f>
        <v>999.7363799999998</v>
      </c>
    </row>
    <row r="43" spans="1:6" ht="76.5">
      <c r="A43" s="118"/>
      <c r="B43" s="180" t="s">
        <v>1199</v>
      </c>
      <c r="C43" s="168" t="s">
        <v>11</v>
      </c>
      <c r="D43" s="169">
        <f>(3.1*(22.04+32.08+19.2+19.07+21.99+29.64+26.54+33.74+23.04+25.59+25.43+15.14+18.72)-(2*1.9-3)-(5.6*3-3)+0.25*(5.6*1+3*1)-(0.8*2*3+5.6*3-3)+0.25*(0.8*2+3*2+5.6)-(4.05*2.5-3)+0.25*(4.05+2.5)*2)*1.01</f>
        <v>945.6448199999998</v>
      </c>
      <c r="E43" s="101"/>
      <c r="F43" s="101"/>
    </row>
    <row r="44" spans="1:6" ht="12.75">
      <c r="A44" s="118"/>
      <c r="C44" s="120" t="s">
        <v>11</v>
      </c>
      <c r="D44" s="170">
        <f>SUM(D41:D43)</f>
        <v>3300.7153499999995</v>
      </c>
      <c r="E44" s="126"/>
      <c r="F44" s="127"/>
    </row>
    <row r="45" spans="1:6" ht="10.5" customHeight="1">
      <c r="A45" s="118"/>
      <c r="C45" s="120"/>
      <c r="D45" s="170"/>
      <c r="E45" s="126"/>
      <c r="F45" s="127"/>
    </row>
    <row r="46" spans="1:6" ht="12.75">
      <c r="A46" s="118" t="s">
        <v>194</v>
      </c>
      <c r="B46" s="215" t="s">
        <v>338</v>
      </c>
      <c r="C46" s="119"/>
      <c r="D46" s="120"/>
      <c r="E46" s="126"/>
      <c r="F46" s="127"/>
    </row>
    <row r="47" spans="1:6" ht="51">
      <c r="A47" s="98"/>
      <c r="B47" s="124" t="s">
        <v>1200</v>
      </c>
      <c r="C47" s="120" t="s">
        <v>11</v>
      </c>
      <c r="D47" s="170">
        <f>(2.7*15.86+2.9*81.22-(2.68*2.15-3)*1-(2.3*2.15-3)*1-(5.6*2.15-3)*1+0.2*(5.6*2.15)*2-(5.6*0.85-3)*2+0.2*(5.6+0.85)*2*2-(2.78*2.15+2.82*2.5-3)+0.2*(5.6+2.78+2.5*2))*1.01</f>
        <v>266.35518</v>
      </c>
      <c r="E47" s="126"/>
      <c r="F47" s="127"/>
    </row>
    <row r="48" spans="1:6" ht="38.25">
      <c r="A48" s="118"/>
      <c r="B48" s="178" t="s">
        <v>1201</v>
      </c>
      <c r="C48" s="168" t="s">
        <v>11</v>
      </c>
      <c r="D48" s="169">
        <f>(131.21*2+(6.73+8.8+5.35+4.07+3.43)*0.6*2+7.42*13.45+3.4*13.45)*1.01</f>
        <v>446.42505</v>
      </c>
      <c r="E48" s="101"/>
      <c r="F48" s="101"/>
    </row>
    <row r="49" spans="1:6" ht="12.75">
      <c r="A49" s="118"/>
      <c r="C49" s="120" t="s">
        <v>11</v>
      </c>
      <c r="D49" s="170">
        <f>SUM(D47:D48)</f>
        <v>712.7802300000001</v>
      </c>
      <c r="E49" s="126"/>
      <c r="F49" s="127"/>
    </row>
    <row r="50" spans="1:6" ht="11.25" customHeight="1">
      <c r="A50" s="118"/>
      <c r="C50" s="120"/>
      <c r="D50" s="170"/>
      <c r="E50" s="126"/>
      <c r="F50" s="127"/>
    </row>
    <row r="51" spans="1:6" ht="78">
      <c r="A51" s="118">
        <f>A32+1</f>
        <v>1003</v>
      </c>
      <c r="B51" s="178" t="s">
        <v>422</v>
      </c>
      <c r="C51" s="119"/>
      <c r="D51" s="120"/>
      <c r="E51" s="126"/>
      <c r="F51" s="127"/>
    </row>
    <row r="52" spans="1:6" ht="25.5">
      <c r="A52" s="118"/>
      <c r="B52" s="178" t="s">
        <v>109</v>
      </c>
      <c r="C52" s="119"/>
      <c r="D52" s="120"/>
      <c r="E52" s="126"/>
      <c r="F52" s="127"/>
    </row>
    <row r="53" spans="1:6" ht="12.75">
      <c r="A53" s="118"/>
      <c r="B53" s="178" t="s">
        <v>87</v>
      </c>
      <c r="C53" s="119"/>
      <c r="D53" s="120"/>
      <c r="E53" s="126"/>
      <c r="F53" s="127"/>
    </row>
    <row r="54" spans="1:6" s="263" customFormat="1" ht="9" customHeight="1">
      <c r="A54" s="259"/>
      <c r="B54" s="264"/>
      <c r="C54" s="261"/>
      <c r="D54" s="261"/>
      <c r="E54" s="269"/>
      <c r="F54" s="265"/>
    </row>
    <row r="55" spans="1:2" ht="12.75">
      <c r="A55" s="118" t="s">
        <v>19</v>
      </c>
      <c r="B55" s="166" t="s">
        <v>287</v>
      </c>
    </row>
    <row r="56" spans="1:4" ht="12.75">
      <c r="A56" s="118"/>
      <c r="B56" s="178" t="s">
        <v>1202</v>
      </c>
      <c r="C56" s="120" t="s">
        <v>11</v>
      </c>
      <c r="D56" s="97">
        <f>(0.5*(13+7.1+12.9+7.1))*1.01</f>
        <v>20.250500000000002</v>
      </c>
    </row>
    <row r="57" spans="1:6" ht="12.75">
      <c r="A57" s="118"/>
      <c r="B57" s="180" t="s">
        <v>1203</v>
      </c>
      <c r="C57" s="168" t="s">
        <v>11</v>
      </c>
      <c r="D57" s="169">
        <f>0.5*(12.9+13)*1.01</f>
        <v>13.0795</v>
      </c>
      <c r="E57" s="101"/>
      <c r="F57" s="101"/>
    </row>
    <row r="58" spans="1:6" ht="12.75" hidden="1">
      <c r="A58" s="118"/>
      <c r="B58" s="180" t="s">
        <v>20</v>
      </c>
      <c r="C58" s="168" t="s">
        <v>11</v>
      </c>
      <c r="D58" s="169">
        <v>0</v>
      </c>
      <c r="E58" s="101"/>
      <c r="F58" s="101"/>
    </row>
    <row r="59" spans="1:6" ht="12.75">
      <c r="A59" s="118"/>
      <c r="C59" s="120" t="s">
        <v>11</v>
      </c>
      <c r="D59" s="170">
        <f>SUM(D56:D58)</f>
        <v>33.33</v>
      </c>
      <c r="E59" s="126"/>
      <c r="F59" s="127"/>
    </row>
    <row r="60" spans="1:6" s="263" customFormat="1" ht="9.75" customHeight="1">
      <c r="A60" s="259"/>
      <c r="B60" s="267"/>
      <c r="C60" s="261"/>
      <c r="D60" s="261"/>
      <c r="E60" s="269"/>
      <c r="F60" s="265"/>
    </row>
    <row r="61" spans="1:6" ht="12.75">
      <c r="A61" s="118" t="s">
        <v>76</v>
      </c>
      <c r="B61" s="215" t="s">
        <v>157</v>
      </c>
      <c r="C61" s="119"/>
      <c r="D61" s="120"/>
      <c r="E61" s="126"/>
      <c r="F61" s="127"/>
    </row>
    <row r="62" spans="1:6" ht="12.75">
      <c r="A62" s="98"/>
      <c r="B62" s="124" t="s">
        <v>1204</v>
      </c>
      <c r="C62" s="120" t="s">
        <v>11</v>
      </c>
      <c r="D62" s="170">
        <f>0.5*(13.04+16.11+9.05+10.94*2)*1.01</f>
        <v>30.3404</v>
      </c>
      <c r="E62" s="126"/>
      <c r="F62" s="127"/>
    </row>
    <row r="63" spans="1:4" ht="38.25">
      <c r="A63" s="118"/>
      <c r="B63" s="178" t="s">
        <v>1205</v>
      </c>
      <c r="C63" s="120" t="s">
        <v>11</v>
      </c>
      <c r="D63" s="97">
        <f>(1*(21.38+26.83)+0.5*(7.09+14.14+15.52+14.96+14.41+3.36+4.42))*1.01</f>
        <v>86.0116</v>
      </c>
    </row>
    <row r="64" spans="1:4" ht="38.25">
      <c r="A64" s="118"/>
      <c r="B64" s="180" t="s">
        <v>1206</v>
      </c>
      <c r="C64" s="120" t="s">
        <v>11</v>
      </c>
      <c r="D64" s="97">
        <f>(0.5*(19.13+18.97+8.87+14.4+14.03+7.5+12.52)+3.1*13.14)*1.01</f>
        <v>89.32843999999999</v>
      </c>
    </row>
    <row r="65" spans="1:6" ht="38.25">
      <c r="A65" s="118"/>
      <c r="B65" s="180" t="s">
        <v>1207</v>
      </c>
      <c r="C65" s="168" t="s">
        <v>11</v>
      </c>
      <c r="D65" s="169">
        <f>(0.5*(14.42+15.82+15.24+7.36+14.1+14.07+7.45+3.1)+3.1*16.32)*1.01</f>
        <v>97.33572</v>
      </c>
      <c r="E65" s="101"/>
      <c r="F65" s="101"/>
    </row>
    <row r="66" spans="1:6" ht="12.75">
      <c r="A66" s="118"/>
      <c r="C66" s="120" t="s">
        <v>11</v>
      </c>
      <c r="D66" s="170">
        <f>SUM(D62:D65)</f>
        <v>303.01615999999996</v>
      </c>
      <c r="E66" s="126"/>
      <c r="F66" s="127"/>
    </row>
    <row r="67" spans="1:6" s="263" customFormat="1" ht="11.25">
      <c r="A67" s="259"/>
      <c r="B67" s="267"/>
      <c r="C67" s="261"/>
      <c r="D67" s="261"/>
      <c r="E67" s="269"/>
      <c r="F67" s="265"/>
    </row>
    <row r="68" spans="1:6" ht="12.75">
      <c r="A68" s="118" t="s">
        <v>194</v>
      </c>
      <c r="B68" s="215" t="s">
        <v>338</v>
      </c>
      <c r="C68" s="119"/>
      <c r="D68" s="120"/>
      <c r="E68" s="126"/>
      <c r="F68" s="127"/>
    </row>
    <row r="69" spans="1:6" ht="38.25">
      <c r="A69" s="98"/>
      <c r="B69" s="124" t="s">
        <v>1208</v>
      </c>
      <c r="C69" s="120" t="s">
        <v>11</v>
      </c>
      <c r="D69" s="170">
        <f>0.7*25.72*1.01+0.7*6.1+0.5*(8.75+12.36+12.22)*1.01</f>
        <v>39.28569</v>
      </c>
      <c r="E69" s="126"/>
      <c r="F69" s="127"/>
    </row>
    <row r="70" spans="1:4" ht="12.75">
      <c r="A70" s="118"/>
      <c r="B70" s="178" t="s">
        <v>1209</v>
      </c>
      <c r="C70" s="120" t="s">
        <v>11</v>
      </c>
      <c r="D70" s="97">
        <f>0.5*(8.2+18.55+18.65)*1.01</f>
        <v>22.927</v>
      </c>
    </row>
    <row r="71" spans="1:4" ht="12.75">
      <c r="A71" s="118"/>
      <c r="B71" s="180" t="s">
        <v>1210</v>
      </c>
      <c r="C71" s="120" t="s">
        <v>11</v>
      </c>
      <c r="D71" s="97">
        <f>0.5*(8.1+18.45+18.55)*1.01</f>
        <v>22.775499999999997</v>
      </c>
    </row>
    <row r="72" spans="1:6" ht="12.75">
      <c r="A72" s="118"/>
      <c r="B72" s="180" t="s">
        <v>1211</v>
      </c>
      <c r="C72" s="168" t="s">
        <v>11</v>
      </c>
      <c r="D72" s="169">
        <f>0.5*(8.14+18.45+18.55)*1.01</f>
        <v>22.7957</v>
      </c>
      <c r="E72" s="101"/>
      <c r="F72" s="101"/>
    </row>
    <row r="73" spans="1:6" ht="12.75">
      <c r="A73" s="118"/>
      <c r="C73" s="120" t="s">
        <v>11</v>
      </c>
      <c r="D73" s="170">
        <f>SUM(D69:D72)</f>
        <v>107.78389</v>
      </c>
      <c r="E73" s="126"/>
      <c r="F73" s="127"/>
    </row>
    <row r="74" spans="1:6" ht="10.5" customHeight="1">
      <c r="A74" s="118"/>
      <c r="B74" s="124"/>
      <c r="C74" s="119"/>
      <c r="D74" s="120"/>
      <c r="E74" s="126"/>
      <c r="F74" s="127"/>
    </row>
    <row r="75" spans="1:6" ht="76.5">
      <c r="A75" s="118">
        <f>A51+1</f>
        <v>1004</v>
      </c>
      <c r="B75" s="178" t="s">
        <v>419</v>
      </c>
      <c r="C75" s="119"/>
      <c r="D75" s="120"/>
      <c r="E75" s="127"/>
      <c r="F75" s="127"/>
    </row>
    <row r="76" spans="1:6" s="263" customFormat="1" ht="9" customHeight="1">
      <c r="A76" s="259"/>
      <c r="B76" s="264"/>
      <c r="C76" s="261"/>
      <c r="D76" s="261"/>
      <c r="E76" s="265"/>
      <c r="F76" s="265"/>
    </row>
    <row r="77" spans="1:6" ht="12.75">
      <c r="A77" s="118"/>
      <c r="B77" s="258" t="s">
        <v>420</v>
      </c>
      <c r="C77" s="119"/>
      <c r="D77" s="120"/>
      <c r="E77" s="121"/>
      <c r="F77" s="121"/>
    </row>
    <row r="78" spans="1:6" s="263" customFormat="1" ht="9" customHeight="1">
      <c r="A78" s="259"/>
      <c r="B78" s="260"/>
      <c r="C78" s="261"/>
      <c r="D78" s="261"/>
      <c r="E78" s="262"/>
      <c r="F78" s="262"/>
    </row>
    <row r="79" spans="1:6" s="117" customFormat="1" ht="12.75">
      <c r="A79" s="114" t="s">
        <v>19</v>
      </c>
      <c r="B79" s="166" t="s">
        <v>287</v>
      </c>
      <c r="C79" s="119"/>
      <c r="D79" s="120"/>
      <c r="E79" s="121"/>
      <c r="F79" s="121"/>
    </row>
    <row r="80" spans="1:6" s="117" customFormat="1" ht="12.75">
      <c r="A80" s="122"/>
      <c r="B80" s="178" t="s">
        <v>868</v>
      </c>
      <c r="C80" s="120" t="s">
        <v>11</v>
      </c>
      <c r="D80" s="170">
        <f>(4.5+5.1)*1.01</f>
        <v>9.696</v>
      </c>
      <c r="E80" s="121"/>
      <c r="F80" s="121"/>
    </row>
    <row r="81" spans="1:6" s="117" customFormat="1" ht="12.75">
      <c r="A81" s="122"/>
      <c r="B81" s="180" t="s">
        <v>869</v>
      </c>
      <c r="C81" s="120" t="s">
        <v>11</v>
      </c>
      <c r="D81" s="170">
        <f>(4.85+4.9+14.15+14.25)*1.01</f>
        <v>38.5315</v>
      </c>
      <c r="E81" s="121"/>
      <c r="F81" s="121"/>
    </row>
    <row r="82" spans="1:6" s="117" customFormat="1" ht="12.75">
      <c r="A82" s="122"/>
      <c r="B82" s="180" t="s">
        <v>870</v>
      </c>
      <c r="C82" s="120" t="s">
        <v>11</v>
      </c>
      <c r="D82" s="170">
        <f>(4.85+4.85+481.8)*1.01</f>
        <v>496.415</v>
      </c>
      <c r="E82" s="121"/>
      <c r="F82" s="121"/>
    </row>
    <row r="83" spans="1:6" s="117" customFormat="1" ht="51">
      <c r="A83" s="122"/>
      <c r="B83" s="178" t="s">
        <v>1292</v>
      </c>
      <c r="C83" s="168" t="s">
        <v>11</v>
      </c>
      <c r="D83" s="181">
        <f>(5.5+6+4.5+4.2+1.4*(2.6+2.9+2.8+4.2+4.4)+1.4+1.3+1+0.9+0.8*2)*1.01</f>
        <v>50.560599999999994</v>
      </c>
      <c r="E83" s="182"/>
      <c r="F83" s="182"/>
    </row>
    <row r="84" spans="1:6" s="117" customFormat="1" ht="12.75">
      <c r="A84" s="123"/>
      <c r="B84" s="124"/>
      <c r="C84" s="120" t="s">
        <v>11</v>
      </c>
      <c r="D84" s="170">
        <f>SUM(D80:D83)</f>
        <v>595.2031000000001</v>
      </c>
      <c r="E84" s="126"/>
      <c r="F84" s="127"/>
    </row>
    <row r="85" spans="1:6" s="270" customFormat="1" ht="11.25">
      <c r="A85" s="266"/>
      <c r="B85" s="267"/>
      <c r="C85" s="261"/>
      <c r="D85" s="268"/>
      <c r="E85" s="269"/>
      <c r="F85" s="265"/>
    </row>
    <row r="86" spans="1:6" s="117" customFormat="1" ht="12.75">
      <c r="A86" s="114" t="s">
        <v>76</v>
      </c>
      <c r="B86" s="166" t="s">
        <v>157</v>
      </c>
      <c r="C86" s="119"/>
      <c r="D86" s="120"/>
      <c r="E86" s="121"/>
      <c r="F86" s="121"/>
    </row>
    <row r="87" spans="1:6" s="117" customFormat="1" ht="25.5">
      <c r="A87" s="114"/>
      <c r="B87" s="171" t="s">
        <v>1212</v>
      </c>
      <c r="C87" s="120" t="s">
        <v>11</v>
      </c>
      <c r="D87" s="170">
        <f>(5.09*2+2.38+33.37+5.51+329.39-6.7*2)*1.01</f>
        <v>371.1043</v>
      </c>
      <c r="E87" s="121"/>
      <c r="F87" s="121"/>
    </row>
    <row r="88" spans="1:6" s="117" customFormat="1" ht="12.75">
      <c r="A88" s="122"/>
      <c r="B88" s="178" t="s">
        <v>1213</v>
      </c>
      <c r="C88" s="120" t="s">
        <v>11</v>
      </c>
      <c r="D88" s="170">
        <f>(19.31+61.99+5.41+17.04)*1.01</f>
        <v>104.7875</v>
      </c>
      <c r="E88" s="121"/>
      <c r="F88" s="121"/>
    </row>
    <row r="89" spans="1:6" s="117" customFormat="1" ht="25.5">
      <c r="A89" s="122"/>
      <c r="B89" s="180" t="s">
        <v>1214</v>
      </c>
      <c r="C89" s="120" t="s">
        <v>11</v>
      </c>
      <c r="D89" s="170">
        <f>(227.08+4.43+18.97+26.28+12.24+9.14+9.83)*1.01</f>
        <v>311.0497</v>
      </c>
      <c r="E89" s="121"/>
      <c r="F89" s="121"/>
    </row>
    <row r="90" spans="1:6" s="117" customFormat="1" ht="12.75">
      <c r="A90" s="122"/>
      <c r="B90" s="180" t="s">
        <v>1215</v>
      </c>
      <c r="C90" s="120" t="s">
        <v>11</v>
      </c>
      <c r="D90" s="170">
        <f>18.31*1.01</f>
        <v>18.4931</v>
      </c>
      <c r="E90" s="121"/>
      <c r="F90" s="121"/>
    </row>
    <row r="91" spans="1:6" s="117" customFormat="1" ht="76.5">
      <c r="A91" s="122"/>
      <c r="B91" s="178" t="s">
        <v>1216</v>
      </c>
      <c r="C91" s="168" t="s">
        <v>11</v>
      </c>
      <c r="D91" s="85">
        <f>2.55*(1.4*3+1.22+0.92*2+1.7+1.2+1.6)+(1.18+0.33)*(2.7+3.02+3.32+3.43*2+3.7+3.12+2.78+3.05)+2.55*(1.4+0.92+1.7*2+1.21*2+1.28)+(1.18+0.33)*(3+3.45+3.73+2.75+3.02+2.68)</f>
        <v>125.2508</v>
      </c>
      <c r="E91" s="182"/>
      <c r="F91" s="182"/>
    </row>
    <row r="92" spans="1:6" s="117" customFormat="1" ht="12.75">
      <c r="A92" s="123"/>
      <c r="B92" s="124"/>
      <c r="C92" s="120" t="s">
        <v>11</v>
      </c>
      <c r="D92" s="170">
        <f>SUM(D88:D91)</f>
        <v>559.5811</v>
      </c>
      <c r="E92" s="126"/>
      <c r="F92" s="127"/>
    </row>
    <row r="93" spans="1:6" s="117" customFormat="1" ht="12.75">
      <c r="A93" s="123"/>
      <c r="B93" s="124"/>
      <c r="C93" s="120"/>
      <c r="D93" s="170"/>
      <c r="E93" s="126"/>
      <c r="F93" s="127"/>
    </row>
    <row r="94" spans="1:6" s="117" customFormat="1" ht="12.75">
      <c r="A94" s="114" t="s">
        <v>194</v>
      </c>
      <c r="B94" s="215" t="s">
        <v>338</v>
      </c>
      <c r="D94" s="170"/>
      <c r="E94" s="126"/>
      <c r="F94" s="127"/>
    </row>
    <row r="95" spans="1:6" s="117" customFormat="1" ht="12.75">
      <c r="A95" s="123"/>
      <c r="B95" s="124" t="s">
        <v>1217</v>
      </c>
      <c r="C95" s="120" t="s">
        <v>11</v>
      </c>
      <c r="D95" s="170">
        <v>113.79</v>
      </c>
      <c r="E95" s="126"/>
      <c r="F95" s="127"/>
    </row>
    <row r="96" spans="1:6" s="117" customFormat="1" ht="12.75">
      <c r="A96" s="122"/>
      <c r="B96" s="178" t="s">
        <v>876</v>
      </c>
      <c r="C96" s="120" t="s">
        <v>11</v>
      </c>
      <c r="D96" s="170">
        <f>(8.03+8+3.61)*1.01</f>
        <v>19.8364</v>
      </c>
      <c r="E96" s="121"/>
      <c r="F96" s="121"/>
    </row>
    <row r="97" spans="1:6" s="117" customFormat="1" ht="12.75">
      <c r="A97" s="122"/>
      <c r="B97" s="180" t="s">
        <v>877</v>
      </c>
      <c r="C97" s="120" t="s">
        <v>11</v>
      </c>
      <c r="D97" s="170">
        <f>6.98*2*1.01</f>
        <v>14.0996</v>
      </c>
      <c r="E97" s="121"/>
      <c r="F97" s="121"/>
    </row>
    <row r="98" spans="1:6" s="117" customFormat="1" ht="12.75">
      <c r="A98" s="122"/>
      <c r="B98" s="180" t="s">
        <v>878</v>
      </c>
      <c r="C98" s="120" t="s">
        <v>11</v>
      </c>
      <c r="D98" s="170">
        <f>6.98*2*1.01</f>
        <v>14.0996</v>
      </c>
      <c r="E98" s="121"/>
      <c r="F98" s="121"/>
    </row>
    <row r="99" spans="1:6" s="117" customFormat="1" ht="76.5">
      <c r="A99" s="122"/>
      <c r="B99" s="178" t="s">
        <v>1218</v>
      </c>
      <c r="C99" s="168" t="s">
        <v>11</v>
      </c>
      <c r="D99" s="85">
        <f>((1.31*2+1.7+2*2+1.61)*3.4*2+3.4*(2.04+11.5+1.7)+(2.5+2.8+3)*1.6+(3.5+3.9+3.45+3.4+2.75+2.75)*1.6*2+0.25*(2.5+2.8+3)+0.25*(3.5+3.9+3.45+3.4+2.75+2.95)*2)*1.01</f>
        <v>209.94869999999997</v>
      </c>
      <c r="E99" s="182"/>
      <c r="F99" s="182"/>
    </row>
    <row r="100" spans="1:6" s="117" customFormat="1" ht="12.75">
      <c r="A100" s="123"/>
      <c r="B100" s="124"/>
      <c r="C100" s="120" t="s">
        <v>11</v>
      </c>
      <c r="D100" s="170">
        <f>SUM(D95:D99)</f>
        <v>371.77430000000004</v>
      </c>
      <c r="E100" s="126"/>
      <c r="F100" s="127"/>
    </row>
    <row r="101" spans="1:6" s="117" customFormat="1" ht="12.75">
      <c r="A101" s="123"/>
      <c r="B101" s="124"/>
      <c r="C101" s="120"/>
      <c r="D101" s="170"/>
      <c r="E101" s="126"/>
      <c r="F101" s="127"/>
    </row>
    <row r="102" spans="1:6" ht="12.75">
      <c r="A102" s="118"/>
      <c r="B102" s="258" t="s">
        <v>421</v>
      </c>
      <c r="C102" s="119"/>
      <c r="D102" s="120"/>
      <c r="E102" s="121"/>
      <c r="F102" s="121"/>
    </row>
    <row r="103" spans="1:6" s="117" customFormat="1" ht="12.75">
      <c r="A103" s="114" t="s">
        <v>19</v>
      </c>
      <c r="B103" s="166" t="s">
        <v>287</v>
      </c>
      <c r="C103" s="119"/>
      <c r="D103" s="120"/>
      <c r="E103" s="121"/>
      <c r="F103" s="121"/>
    </row>
    <row r="104" spans="1:6" s="117" customFormat="1" ht="12.75">
      <c r="A104" s="122"/>
      <c r="B104" s="178" t="s">
        <v>1219</v>
      </c>
      <c r="C104" s="120" t="s">
        <v>11</v>
      </c>
      <c r="D104" s="97">
        <f>51.9*1.01</f>
        <v>52.419</v>
      </c>
      <c r="E104" s="121"/>
      <c r="F104" s="121"/>
    </row>
    <row r="105" spans="1:6" s="117" customFormat="1" ht="12.75">
      <c r="A105" s="122"/>
      <c r="B105" s="180" t="s">
        <v>1222</v>
      </c>
      <c r="C105" s="120" t="s">
        <v>11</v>
      </c>
      <c r="D105" s="97">
        <f>(15.7+16.25)*1.01</f>
        <v>32.2695</v>
      </c>
      <c r="E105" s="121"/>
      <c r="F105" s="121"/>
    </row>
    <row r="106" spans="1:6" s="117" customFormat="1" ht="12.75">
      <c r="A106" s="122"/>
      <c r="B106" s="180" t="s">
        <v>1223</v>
      </c>
      <c r="C106" s="168" t="s">
        <v>11</v>
      </c>
      <c r="D106" s="169">
        <f>(16.45+17)*1.01</f>
        <v>33.7845</v>
      </c>
      <c r="E106" s="182"/>
      <c r="F106" s="182"/>
    </row>
    <row r="107" spans="1:6" s="117" customFormat="1" ht="12.75">
      <c r="A107" s="123"/>
      <c r="B107" s="124"/>
      <c r="C107" s="120" t="s">
        <v>11</v>
      </c>
      <c r="D107" s="170">
        <f>SUM(D104:D106)</f>
        <v>118.47300000000001</v>
      </c>
      <c r="E107" s="126"/>
      <c r="F107" s="127"/>
    </row>
    <row r="108" spans="1:6" ht="12.75">
      <c r="A108" s="118"/>
      <c r="B108" s="124"/>
      <c r="C108" s="119"/>
      <c r="D108" s="120"/>
      <c r="E108" s="121"/>
      <c r="F108" s="121"/>
    </row>
    <row r="109" spans="1:6" s="117" customFormat="1" ht="12.75">
      <c r="A109" s="123"/>
      <c r="B109" s="124" t="s">
        <v>1220</v>
      </c>
      <c r="C109" s="120" t="s">
        <v>11</v>
      </c>
      <c r="D109" s="170">
        <f>47.6*0.6*1.01</f>
        <v>28.845599999999997</v>
      </c>
      <c r="E109" s="126"/>
      <c r="F109" s="127"/>
    </row>
    <row r="110" spans="1:6" s="284" customFormat="1" ht="11.25">
      <c r="A110" s="283"/>
      <c r="C110" s="285"/>
      <c r="D110" s="286"/>
      <c r="E110" s="287"/>
      <c r="F110" s="288"/>
    </row>
    <row r="111" spans="1:2" ht="12.75">
      <c r="A111" s="114" t="s">
        <v>76</v>
      </c>
      <c r="B111" s="166" t="s">
        <v>157</v>
      </c>
    </row>
    <row r="112" spans="1:6" ht="12.75">
      <c r="A112" s="118"/>
      <c r="B112" s="212" t="s">
        <v>1221</v>
      </c>
      <c r="C112" s="120" t="s">
        <v>11</v>
      </c>
      <c r="D112" s="170">
        <f>(111.31+8.23)*1.01</f>
        <v>120.73540000000001</v>
      </c>
      <c r="E112" s="126"/>
      <c r="F112" s="127"/>
    </row>
    <row r="113" spans="1:6" s="252" customFormat="1" ht="12.75">
      <c r="A113" s="253"/>
      <c r="C113" s="254"/>
      <c r="D113" s="255"/>
      <c r="E113" s="256"/>
      <c r="F113" s="257"/>
    </row>
    <row r="114" spans="1:6" s="252" customFormat="1" ht="38.25">
      <c r="A114" s="114" t="s">
        <v>194</v>
      </c>
      <c r="B114" s="211" t="s">
        <v>201</v>
      </c>
      <c r="C114" s="138"/>
      <c r="D114" s="98"/>
      <c r="E114" s="98"/>
      <c r="F114" s="98"/>
    </row>
    <row r="115" spans="1:6" s="252" customFormat="1" ht="12.75">
      <c r="A115" s="250"/>
      <c r="B115" s="171" t="s">
        <v>1224</v>
      </c>
      <c r="C115" s="120" t="s">
        <v>11</v>
      </c>
      <c r="D115" s="97">
        <f>(5.2+0.65+0.5)*1.01</f>
        <v>6.413500000000001</v>
      </c>
      <c r="E115" s="126"/>
      <c r="F115" s="127"/>
    </row>
    <row r="116" spans="1:6" s="252" customFormat="1" ht="25.5">
      <c r="A116" s="250"/>
      <c r="B116" s="171" t="s">
        <v>1225</v>
      </c>
      <c r="C116" s="120" t="s">
        <v>11</v>
      </c>
      <c r="D116" s="97">
        <f>0.5*(5.5+3.3+2.3)*1.01</f>
        <v>5.605500000000001</v>
      </c>
      <c r="E116" s="126"/>
      <c r="F116" s="127"/>
    </row>
    <row r="117" spans="1:2" s="284" customFormat="1" ht="11.25">
      <c r="A117" s="289"/>
      <c r="B117" s="290"/>
    </row>
    <row r="118" spans="1:3" s="252" customFormat="1" ht="12.75">
      <c r="A118" s="114" t="s">
        <v>197</v>
      </c>
      <c r="B118" s="240" t="s">
        <v>338</v>
      </c>
      <c r="C118" s="251"/>
    </row>
    <row r="119" spans="1:6" ht="12.75">
      <c r="A119" s="114"/>
      <c r="B119" s="171" t="s">
        <v>1226</v>
      </c>
      <c r="C119" s="120" t="s">
        <v>11</v>
      </c>
      <c r="D119" s="97">
        <v>348</v>
      </c>
      <c r="E119" s="126"/>
      <c r="F119" s="127"/>
    </row>
    <row r="120" spans="1:6" ht="12.75">
      <c r="A120" s="125"/>
      <c r="B120" s="128"/>
      <c r="C120" s="120"/>
      <c r="D120" s="120"/>
      <c r="E120" s="127"/>
      <c r="F120" s="127"/>
    </row>
    <row r="121" spans="1:6" s="97" customFormat="1" ht="51">
      <c r="A121" s="125">
        <f>A75+1</f>
        <v>1005</v>
      </c>
      <c r="B121" s="57" t="s">
        <v>206</v>
      </c>
      <c r="C121" s="120"/>
      <c r="D121" s="120"/>
      <c r="E121" s="126"/>
      <c r="F121" s="127"/>
    </row>
    <row r="122" spans="1:6" s="97" customFormat="1" ht="12.75">
      <c r="A122" s="125"/>
      <c r="B122" s="166" t="s">
        <v>1227</v>
      </c>
      <c r="C122" s="120" t="s">
        <v>11</v>
      </c>
      <c r="D122" s="170">
        <f>(14.25*9+5)*1.01</f>
        <v>134.5825</v>
      </c>
      <c r="E122" s="126"/>
      <c r="F122" s="127"/>
    </row>
    <row r="123" spans="1:6" s="97" customFormat="1" ht="12.75">
      <c r="A123" s="118"/>
      <c r="B123" s="183" t="s">
        <v>1228</v>
      </c>
      <c r="C123" s="120" t="s">
        <v>11</v>
      </c>
      <c r="D123" s="175">
        <f>(18.3*9*3+5*3)*1.01</f>
        <v>514.191</v>
      </c>
      <c r="E123" s="126"/>
      <c r="F123" s="127"/>
    </row>
    <row r="124" spans="1:6" s="97" customFormat="1" ht="12.75">
      <c r="A124" s="125"/>
      <c r="B124" s="240" t="s">
        <v>1229</v>
      </c>
      <c r="C124" s="120" t="s">
        <v>11</v>
      </c>
      <c r="D124" s="170">
        <f>(18.3*9+5)*1.01</f>
        <v>171.39700000000002</v>
      </c>
      <c r="E124" s="126"/>
      <c r="F124" s="127"/>
    </row>
    <row r="125" spans="1:6" s="97" customFormat="1" ht="12.75">
      <c r="A125" s="118"/>
      <c r="B125" s="129"/>
      <c r="C125" s="130"/>
      <c r="D125" s="130"/>
      <c r="E125" s="126"/>
      <c r="F125" s="127"/>
    </row>
    <row r="126" spans="1:6" s="97" customFormat="1" ht="12.75">
      <c r="A126" s="125"/>
      <c r="B126" s="124"/>
      <c r="C126" s="119"/>
      <c r="D126" s="120"/>
      <c r="E126" s="121"/>
      <c r="F126" s="121"/>
    </row>
    <row r="127" spans="1:6" s="97" customFormat="1" ht="12.75">
      <c r="A127" s="131">
        <f>A4</f>
        <v>1000</v>
      </c>
      <c r="B127" s="132" t="str">
        <f>B4</f>
        <v>MOLERSKO- FARBARSKI RADOVI</v>
      </c>
      <c r="C127" s="133" t="s">
        <v>1485</v>
      </c>
      <c r="D127" s="113"/>
      <c r="E127" s="134"/>
      <c r="F127" s="135"/>
    </row>
    <row r="128" spans="1:6" s="97" customFormat="1" ht="12.75">
      <c r="A128" s="136"/>
      <c r="B128" s="137"/>
      <c r="C128" s="138"/>
      <c r="D128" s="98"/>
      <c r="E128" s="98"/>
      <c r="F128" s="98"/>
    </row>
    <row r="129" spans="1:6" s="97" customFormat="1" ht="12.75">
      <c r="A129" s="136"/>
      <c r="B129" s="139"/>
      <c r="C129" s="138"/>
      <c r="D129" s="98"/>
      <c r="E129" s="98"/>
      <c r="F129" s="98"/>
    </row>
    <row r="130" spans="1:6" s="97" customFormat="1" ht="12.75">
      <c r="A130" s="125"/>
      <c r="B130" s="124"/>
      <c r="C130" s="119"/>
      <c r="D130" s="120"/>
      <c r="E130" s="121"/>
      <c r="F130" s="121"/>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4" manualBreakCount="4">
    <brk id="30" max="5" man="1"/>
    <brk id="49" max="5" man="1"/>
    <brk id="84" max="5" man="1"/>
    <brk id="119" max="5" man="1"/>
  </rowBreaks>
</worksheet>
</file>

<file path=xl/worksheets/sheet13.xml><?xml version="1.0" encoding="utf-8"?>
<worksheet xmlns="http://schemas.openxmlformats.org/spreadsheetml/2006/main" xmlns:r="http://schemas.openxmlformats.org/officeDocument/2006/relationships">
  <dimension ref="A1:G133"/>
  <sheetViews>
    <sheetView zoomScaleSheetLayoutView="110" zoomScalePageLayoutView="0" workbookViewId="0" topLeftCell="A1">
      <pane ySplit="2" topLeftCell="A126" activePane="bottomLeft" state="frozen"/>
      <selection pane="topLeft" activeCell="C203" sqref="C203"/>
      <selection pane="bottomLeft" activeCell="C203" sqref="C203"/>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v>1100</v>
      </c>
      <c r="B4" s="82" t="s">
        <v>38</v>
      </c>
      <c r="C4" s="63"/>
      <c r="D4" s="13"/>
      <c r="E4" s="13"/>
      <c r="F4" s="13"/>
    </row>
    <row r="5" spans="1:6" ht="12.75">
      <c r="A5" s="73"/>
      <c r="B5" s="74"/>
      <c r="C5" s="59"/>
      <c r="D5" s="3"/>
      <c r="E5" s="3"/>
      <c r="F5" s="3"/>
    </row>
    <row r="6" spans="1:6" ht="105" customHeight="1">
      <c r="A6" s="58">
        <f>A4+1</f>
        <v>1101</v>
      </c>
      <c r="B6" s="57" t="s">
        <v>783</v>
      </c>
      <c r="C6" s="65"/>
      <c r="D6" s="27"/>
      <c r="E6" s="28"/>
      <c r="F6" s="28"/>
    </row>
    <row r="7" spans="1:6" ht="91.5" customHeight="1">
      <c r="A7" s="58"/>
      <c r="B7" s="57" t="s">
        <v>412</v>
      </c>
      <c r="C7" s="65"/>
      <c r="D7" s="27"/>
      <c r="E7" s="28"/>
      <c r="F7" s="28"/>
    </row>
    <row r="8" spans="1:6" ht="25.5">
      <c r="A8" s="58"/>
      <c r="B8" s="75" t="s">
        <v>182</v>
      </c>
      <c r="C8" s="65"/>
      <c r="D8" s="27"/>
      <c r="E8" s="28"/>
      <c r="F8" s="28"/>
    </row>
    <row r="9" spans="1:6" ht="12.75">
      <c r="A9" s="54"/>
      <c r="B9" s="75"/>
      <c r="C9" s="65"/>
      <c r="D9" s="27"/>
      <c r="E9" s="30"/>
      <c r="F9" s="30"/>
    </row>
    <row r="10" spans="1:6" ht="12.75">
      <c r="A10" s="54"/>
      <c r="B10" s="67" t="s">
        <v>286</v>
      </c>
      <c r="C10" s="65"/>
      <c r="D10" s="27"/>
      <c r="E10" s="30"/>
      <c r="F10" s="30"/>
    </row>
    <row r="11" spans="1:4" ht="12.75">
      <c r="A11" s="54"/>
      <c r="B11" s="92" t="s">
        <v>413</v>
      </c>
      <c r="C11" s="27"/>
      <c r="D11" s="41"/>
    </row>
    <row r="12" spans="1:4" ht="12.75">
      <c r="A12" s="54"/>
      <c r="B12" s="93" t="s">
        <v>1231</v>
      </c>
      <c r="C12" s="27" t="s">
        <v>11</v>
      </c>
      <c r="D12" s="41">
        <f>(55.48+10.32+7.15+15.17)*1.01</f>
        <v>89.00120000000001</v>
      </c>
    </row>
    <row r="13" spans="1:6" ht="38.25">
      <c r="A13" s="54"/>
      <c r="B13" s="93" t="s">
        <v>895</v>
      </c>
      <c r="C13" s="76" t="s">
        <v>11</v>
      </c>
      <c r="D13" s="85">
        <f>(12.35+11.51+10.72+14.06+16.19+19.58+15.22+26.3+10.32+14.16)*1.01</f>
        <v>151.9141</v>
      </c>
      <c r="E13" s="77"/>
      <c r="F13" s="77"/>
    </row>
    <row r="14" spans="1:6" ht="12.75">
      <c r="A14" s="55"/>
      <c r="B14" s="29"/>
      <c r="C14" s="27" t="s">
        <v>11</v>
      </c>
      <c r="D14" s="69">
        <f>SUM(D12:D13)</f>
        <v>240.9153</v>
      </c>
      <c r="E14" s="87"/>
      <c r="F14" s="88"/>
    </row>
    <row r="15" spans="1:6" ht="12.75">
      <c r="A15" s="55"/>
      <c r="B15" s="29"/>
      <c r="C15" s="27"/>
      <c r="D15" s="69"/>
      <c r="E15" s="40"/>
      <c r="F15" s="28"/>
    </row>
    <row r="16" spans="1:6" ht="12.75">
      <c r="A16" s="55"/>
      <c r="B16" s="210" t="s">
        <v>392</v>
      </c>
      <c r="C16" s="27"/>
      <c r="D16" s="69"/>
      <c r="E16" s="40"/>
      <c r="F16" s="28"/>
    </row>
    <row r="17" spans="1:6" ht="12.75">
      <c r="A17" s="55"/>
      <c r="B17" s="92" t="s">
        <v>414</v>
      </c>
      <c r="C17" s="27"/>
      <c r="D17" s="69"/>
      <c r="E17" s="40"/>
      <c r="F17" s="28"/>
    </row>
    <row r="18" spans="1:6" ht="12.75">
      <c r="A18" s="54"/>
      <c r="B18" s="93" t="s">
        <v>1230</v>
      </c>
      <c r="C18" s="76" t="s">
        <v>11</v>
      </c>
      <c r="D18" s="71">
        <v>105.01</v>
      </c>
      <c r="E18" s="4"/>
      <c r="F18" s="4"/>
    </row>
    <row r="19" spans="1:6" ht="12.75">
      <c r="A19" s="55"/>
      <c r="B19" s="29"/>
      <c r="C19" s="27" t="s">
        <v>11</v>
      </c>
      <c r="D19" s="69">
        <f>SUM(D18:D18)</f>
        <v>105.01</v>
      </c>
      <c r="E19" s="40"/>
      <c r="F19" s="28"/>
    </row>
    <row r="20" spans="1:6" ht="12.75">
      <c r="A20" s="54"/>
      <c r="B20" s="29"/>
      <c r="C20" s="65"/>
      <c r="D20" s="27"/>
      <c r="E20" s="30"/>
      <c r="F20" s="30"/>
    </row>
    <row r="21" spans="1:6" ht="118.5" customHeight="1">
      <c r="A21" s="58">
        <f>A6+1</f>
        <v>1102</v>
      </c>
      <c r="B21" s="57" t="s">
        <v>61</v>
      </c>
      <c r="C21" s="65"/>
      <c r="D21" s="27"/>
      <c r="E21" s="28"/>
      <c r="F21" s="28"/>
    </row>
    <row r="22" spans="1:6" ht="204" customHeight="1">
      <c r="A22" s="58"/>
      <c r="B22" s="57" t="s">
        <v>1234</v>
      </c>
      <c r="C22" s="65"/>
      <c r="D22" s="27"/>
      <c r="E22" s="28"/>
      <c r="F22" s="28"/>
    </row>
    <row r="23" spans="1:6" ht="25.5">
      <c r="A23" s="58"/>
      <c r="B23" s="75" t="s">
        <v>1232</v>
      </c>
      <c r="C23" s="65"/>
      <c r="D23" s="27"/>
      <c r="E23" s="28"/>
      <c r="F23" s="28"/>
    </row>
    <row r="24" spans="1:6" ht="12.75">
      <c r="A24" s="54"/>
      <c r="B24" s="75"/>
      <c r="C24" s="65"/>
      <c r="D24" s="27"/>
      <c r="E24" s="30"/>
      <c r="F24" s="30"/>
    </row>
    <row r="25" spans="1:6" ht="12.75">
      <c r="A25" s="54"/>
      <c r="B25" s="67" t="s">
        <v>286</v>
      </c>
      <c r="C25" s="65"/>
      <c r="D25" s="27"/>
      <c r="E25" s="30"/>
      <c r="F25" s="30"/>
    </row>
    <row r="26" spans="1:4" ht="12.75">
      <c r="A26" s="54"/>
      <c r="B26" s="92" t="s">
        <v>181</v>
      </c>
      <c r="C26" s="27"/>
      <c r="D26" s="41"/>
    </row>
    <row r="27" spans="1:4" ht="51">
      <c r="A27" s="54"/>
      <c r="B27" s="93" t="s">
        <v>921</v>
      </c>
      <c r="C27" s="76" t="s">
        <v>11</v>
      </c>
      <c r="D27" s="71">
        <f>(14.29+14.23+13.87+43.47+27.78+10.71+8.72+50.8+38.45+23.99+27.65+11.09+28.34+40.37+14.62+16.8)*1.01</f>
        <v>389.0318</v>
      </c>
    </row>
    <row r="28" spans="1:6" ht="12.75">
      <c r="A28" s="55"/>
      <c r="B28" s="29"/>
      <c r="C28" s="27" t="s">
        <v>11</v>
      </c>
      <c r="D28" s="69">
        <f>SUM(D27:D27)</f>
        <v>389.0318</v>
      </c>
      <c r="E28" s="87"/>
      <c r="F28" s="88"/>
    </row>
    <row r="29" spans="1:6" ht="12.75">
      <c r="A29" s="55"/>
      <c r="B29" s="29"/>
      <c r="C29" s="27"/>
      <c r="D29" s="69"/>
      <c r="E29" s="40"/>
      <c r="F29" s="28"/>
    </row>
    <row r="30" spans="1:6" ht="12.75">
      <c r="A30" s="55"/>
      <c r="B30" s="201" t="s">
        <v>156</v>
      </c>
      <c r="C30" s="27"/>
      <c r="D30" s="69"/>
      <c r="E30" s="40"/>
      <c r="F30" s="28"/>
    </row>
    <row r="31" spans="1:6" ht="12.75">
      <c r="A31" s="55"/>
      <c r="B31" s="29" t="s">
        <v>188</v>
      </c>
      <c r="C31" s="65"/>
      <c r="D31" s="27"/>
      <c r="E31" s="30"/>
      <c r="F31" s="30"/>
    </row>
    <row r="32" spans="1:6" ht="38.25">
      <c r="A32" s="55"/>
      <c r="B32" s="29" t="s">
        <v>1235</v>
      </c>
      <c r="C32" s="27" t="s">
        <v>11</v>
      </c>
      <c r="D32" s="69">
        <f>(75.45+9.3+42.07+34.93+53.06+7.65+43.14+44.5+90.39+25.68+35.97+42.93+42.07)*1.01</f>
        <v>552.6114</v>
      </c>
      <c r="E32" s="30"/>
      <c r="F32" s="30"/>
    </row>
    <row r="33" spans="1:6" ht="38.25">
      <c r="A33" s="55"/>
      <c r="B33" s="29" t="s">
        <v>1236</v>
      </c>
      <c r="C33" s="27" t="s">
        <v>11</v>
      </c>
      <c r="D33" s="72">
        <f>(13.67+42.39+34.08+32.21+20.05+20.25*2+20.3+20.29+15.37+15.12+13.88+10.74+12.13+5.97)*1.01</f>
        <v>299.66700000000003</v>
      </c>
      <c r="E33" s="30"/>
      <c r="F33" s="30"/>
    </row>
    <row r="34" spans="1:6" ht="38.25">
      <c r="A34" s="55"/>
      <c r="B34" s="29" t="s">
        <v>1237</v>
      </c>
      <c r="C34" s="76" t="s">
        <v>11</v>
      </c>
      <c r="D34" s="71">
        <f>(27.51+59.51+21.31+21.05+29.69+51.37+40.72+62.46+30.12+37.84+39.84+13.45+20.81)*1.01</f>
        <v>460.2368000000001</v>
      </c>
      <c r="E34" s="77"/>
      <c r="F34" s="77"/>
    </row>
    <row r="35" spans="1:6" ht="12.75">
      <c r="A35" s="55"/>
      <c r="B35" s="29"/>
      <c r="C35" s="27" t="s">
        <v>11</v>
      </c>
      <c r="D35" s="80">
        <f>SUM(D32:D34)</f>
        <v>1312.5152</v>
      </c>
      <c r="E35" s="40"/>
      <c r="F35" s="28"/>
    </row>
    <row r="36" spans="1:6" ht="12.75">
      <c r="A36" s="55"/>
      <c r="B36" s="29"/>
      <c r="C36" s="27"/>
      <c r="D36" s="69"/>
      <c r="E36" s="40"/>
      <c r="F36" s="28"/>
    </row>
    <row r="37" spans="1:6" ht="76.5">
      <c r="A37" s="58">
        <f>A21+1</f>
        <v>1103</v>
      </c>
      <c r="B37" s="57" t="s">
        <v>59</v>
      </c>
      <c r="C37" s="65"/>
      <c r="D37" s="27"/>
      <c r="E37" s="28"/>
      <c r="F37" s="28"/>
    </row>
    <row r="38" spans="1:7" ht="76.5">
      <c r="A38" s="58"/>
      <c r="B38" s="57" t="s">
        <v>60</v>
      </c>
      <c r="C38" s="65"/>
      <c r="D38" s="27"/>
      <c r="E38" s="28"/>
      <c r="F38" s="28"/>
      <c r="G38" s="245"/>
    </row>
    <row r="39" spans="1:6" ht="97.5" customHeight="1">
      <c r="A39" s="58"/>
      <c r="B39" s="57" t="s">
        <v>1233</v>
      </c>
      <c r="C39" s="65"/>
      <c r="D39" s="27"/>
      <c r="E39" s="28"/>
      <c r="F39" s="28"/>
    </row>
    <row r="40" spans="1:6" ht="25.5">
      <c r="A40" s="54"/>
      <c r="B40" s="75" t="s">
        <v>1232</v>
      </c>
      <c r="C40" s="65"/>
      <c r="D40" s="27"/>
      <c r="E40" s="30"/>
      <c r="F40" s="30"/>
    </row>
    <row r="41" spans="1:6" ht="12.75">
      <c r="A41" s="54"/>
      <c r="B41" s="246" t="s">
        <v>415</v>
      </c>
      <c r="C41" s="65"/>
      <c r="D41" s="27"/>
      <c r="E41" s="30"/>
      <c r="F41" s="30"/>
    </row>
    <row r="42" spans="1:6" ht="12.75">
      <c r="A42" s="54"/>
      <c r="B42" s="67" t="s">
        <v>286</v>
      </c>
      <c r="C42" s="65"/>
      <c r="D42" s="27"/>
      <c r="E42" s="30"/>
      <c r="F42" s="30"/>
    </row>
    <row r="43" spans="1:4" ht="12.75">
      <c r="A43" s="54"/>
      <c r="B43" s="92"/>
      <c r="C43" s="27"/>
      <c r="D43" s="41"/>
    </row>
    <row r="44" spans="1:6" ht="12.75">
      <c r="A44" s="54"/>
      <c r="B44" s="93" t="s">
        <v>1238</v>
      </c>
      <c r="C44" s="27" t="s">
        <v>11</v>
      </c>
      <c r="D44" s="72">
        <v>8.3</v>
      </c>
      <c r="E44" s="40"/>
      <c r="F44" s="28"/>
    </row>
    <row r="45" spans="1:6" ht="12.75">
      <c r="A45" s="55"/>
      <c r="B45" s="93"/>
      <c r="C45" s="27"/>
      <c r="D45" s="249"/>
      <c r="E45" s="40"/>
      <c r="F45" s="28"/>
    </row>
    <row r="46" spans="1:6" ht="12.75">
      <c r="A46" s="55"/>
      <c r="B46" s="201" t="s">
        <v>156</v>
      </c>
      <c r="C46" s="27"/>
      <c r="D46" s="249"/>
      <c r="E46" s="40"/>
      <c r="F46" s="28"/>
    </row>
    <row r="47" spans="1:6" ht="38.25">
      <c r="A47" s="55"/>
      <c r="B47" s="29" t="s">
        <v>1239</v>
      </c>
      <c r="C47" s="27" t="s">
        <v>11</v>
      </c>
      <c r="D47" s="80">
        <v>308.58</v>
      </c>
      <c r="E47" s="30"/>
      <c r="F47" s="30"/>
    </row>
    <row r="48" spans="1:6" ht="51">
      <c r="A48" s="55"/>
      <c r="B48" s="29" t="s">
        <v>1240</v>
      </c>
      <c r="C48" s="27" t="s">
        <v>11</v>
      </c>
      <c r="D48" s="2">
        <v>337.79</v>
      </c>
      <c r="E48" s="30"/>
      <c r="F48" s="30"/>
    </row>
    <row r="49" spans="1:6" ht="51">
      <c r="A49" s="55"/>
      <c r="B49" s="29" t="s">
        <v>1241</v>
      </c>
      <c r="C49" s="76" t="s">
        <v>11</v>
      </c>
      <c r="D49" s="4">
        <v>385.13</v>
      </c>
      <c r="E49" s="77"/>
      <c r="F49" s="77"/>
    </row>
    <row r="50" spans="1:7" ht="12.75">
      <c r="A50" s="55"/>
      <c r="B50" s="29"/>
      <c r="C50" s="27" t="s">
        <v>11</v>
      </c>
      <c r="D50" s="80">
        <f>SUM(D47:D49)</f>
        <v>1031.5</v>
      </c>
      <c r="E50" s="40"/>
      <c r="F50" s="28"/>
      <c r="G50" s="208"/>
    </row>
    <row r="51" spans="1:7" ht="12.75">
      <c r="A51" s="55"/>
      <c r="B51" s="29"/>
      <c r="C51" s="27"/>
      <c r="D51" s="80"/>
      <c r="E51" s="40"/>
      <c r="F51" s="28"/>
      <c r="G51" s="208"/>
    </row>
    <row r="52" spans="1:7" ht="12.75">
      <c r="A52" s="55"/>
      <c r="B52" s="210" t="s">
        <v>302</v>
      </c>
      <c r="C52" s="27"/>
      <c r="D52" s="80"/>
      <c r="E52" s="40"/>
      <c r="F52" s="28"/>
      <c r="G52" s="208"/>
    </row>
    <row r="53" spans="1:7" ht="25.5">
      <c r="A53" s="55"/>
      <c r="B53" s="29" t="s">
        <v>1242</v>
      </c>
      <c r="C53" s="27" t="s">
        <v>11</v>
      </c>
      <c r="D53" s="69">
        <f>412.54+46.36</f>
        <v>458.90000000000003</v>
      </c>
      <c r="E53" s="40"/>
      <c r="F53" s="28"/>
      <c r="G53" s="41"/>
    </row>
    <row r="54" spans="1:6" ht="12.75">
      <c r="A54" s="55"/>
      <c r="B54" s="29" t="s">
        <v>1243</v>
      </c>
      <c r="C54" s="27" t="s">
        <v>11</v>
      </c>
      <c r="D54" s="80">
        <v>672.66</v>
      </c>
      <c r="E54" s="40"/>
      <c r="F54" s="28"/>
    </row>
    <row r="55" spans="1:6" ht="12.75">
      <c r="A55" s="55"/>
      <c r="B55" s="29" t="s">
        <v>1244</v>
      </c>
      <c r="C55" s="76" t="s">
        <v>11</v>
      </c>
      <c r="D55" s="95">
        <v>350.89</v>
      </c>
      <c r="E55" s="90"/>
      <c r="F55" s="91"/>
    </row>
    <row r="56" spans="1:6" ht="12.75">
      <c r="A56" s="55"/>
      <c r="B56" s="29"/>
      <c r="C56" s="27" t="s">
        <v>11</v>
      </c>
      <c r="D56" s="80">
        <f>SUM(D53:D55)</f>
        <v>1482.4499999999998</v>
      </c>
      <c r="E56" s="40"/>
      <c r="F56" s="28"/>
    </row>
    <row r="57" spans="1:6" ht="12.75">
      <c r="A57" s="55"/>
      <c r="B57" s="29"/>
      <c r="C57" s="65"/>
      <c r="D57" s="27"/>
      <c r="E57" s="40"/>
      <c r="F57" s="28"/>
    </row>
    <row r="58" spans="1:6" ht="12.75">
      <c r="A58" s="55"/>
      <c r="B58" s="210" t="s">
        <v>403</v>
      </c>
      <c r="C58" s="65"/>
      <c r="D58" s="27"/>
      <c r="E58" s="40"/>
      <c r="F58" s="28"/>
    </row>
    <row r="59" spans="1:6" ht="12.75">
      <c r="A59" s="55"/>
      <c r="B59" s="29" t="s">
        <v>405</v>
      </c>
      <c r="C59" s="65"/>
      <c r="D59" s="27"/>
      <c r="E59" s="40"/>
      <c r="F59" s="28"/>
    </row>
    <row r="60" spans="1:6" ht="63.75">
      <c r="A60" s="55"/>
      <c r="B60" s="162" t="s">
        <v>1254</v>
      </c>
      <c r="C60" s="65"/>
      <c r="D60" s="27"/>
      <c r="E60" s="40"/>
      <c r="F60" s="28"/>
    </row>
    <row r="61" spans="1:6" ht="25.5">
      <c r="A61" s="55"/>
      <c r="B61" s="29" t="s">
        <v>1245</v>
      </c>
      <c r="C61" s="27" t="s">
        <v>11</v>
      </c>
      <c r="D61" s="69">
        <v>345.6</v>
      </c>
      <c r="E61" s="40"/>
      <c r="F61" s="28"/>
    </row>
    <row r="62" spans="1:6" ht="12.75">
      <c r="A62" s="55"/>
      <c r="B62" s="29"/>
      <c r="C62" s="65"/>
      <c r="D62" s="27"/>
      <c r="E62" s="40"/>
      <c r="F62" s="28"/>
    </row>
    <row r="63" spans="1:6" ht="12.75">
      <c r="A63" s="55"/>
      <c r="B63" s="247" t="s">
        <v>1255</v>
      </c>
      <c r="C63" s="65"/>
      <c r="D63" s="27"/>
      <c r="E63" s="40"/>
      <c r="F63" s="28"/>
    </row>
    <row r="64" spans="1:6" ht="12.75">
      <c r="A64" s="55"/>
      <c r="B64" s="210" t="s">
        <v>286</v>
      </c>
      <c r="C64" s="65"/>
      <c r="D64" s="27"/>
      <c r="E64" s="40"/>
      <c r="F64" s="28"/>
    </row>
    <row r="65" spans="1:6" ht="12.75">
      <c r="A65" s="55"/>
      <c r="B65" s="29" t="s">
        <v>1246</v>
      </c>
      <c r="C65" s="27" t="s">
        <v>11</v>
      </c>
      <c r="D65" s="69">
        <v>12.32</v>
      </c>
      <c r="E65" s="40"/>
      <c r="F65" s="28"/>
    </row>
    <row r="66" spans="1:6" s="200" customFormat="1" ht="11.25">
      <c r="A66" s="193"/>
      <c r="B66" s="243"/>
      <c r="C66" s="195"/>
      <c r="D66" s="195"/>
      <c r="E66" s="197"/>
      <c r="F66" s="198"/>
    </row>
    <row r="67" spans="1:6" ht="12.75">
      <c r="A67" s="55"/>
      <c r="B67" s="210" t="s">
        <v>156</v>
      </c>
      <c r="C67" s="2"/>
      <c r="D67" s="27"/>
      <c r="E67" s="40"/>
      <c r="F67" s="28"/>
    </row>
    <row r="68" spans="1:6" ht="25.5">
      <c r="A68" s="55"/>
      <c r="B68" s="29" t="s">
        <v>1247</v>
      </c>
      <c r="C68" s="27" t="s">
        <v>11</v>
      </c>
      <c r="D68" s="80">
        <v>244.46</v>
      </c>
      <c r="E68" s="40"/>
      <c r="F68" s="28"/>
    </row>
    <row r="69" spans="1:6" ht="12.75">
      <c r="A69" s="55"/>
      <c r="B69" s="29" t="s">
        <v>1248</v>
      </c>
      <c r="C69" s="27" t="s">
        <v>11</v>
      </c>
      <c r="D69" s="69">
        <v>30.9</v>
      </c>
      <c r="E69" s="40"/>
      <c r="F69" s="28"/>
    </row>
    <row r="70" spans="1:6" ht="12.75">
      <c r="A70" s="55"/>
      <c r="B70" s="29" t="s">
        <v>1249</v>
      </c>
      <c r="C70" s="76" t="s">
        <v>11</v>
      </c>
      <c r="D70" s="95">
        <v>95.05</v>
      </c>
      <c r="E70" s="90"/>
      <c r="F70" s="91"/>
    </row>
    <row r="71" spans="1:6" ht="12.75">
      <c r="A71" s="55"/>
      <c r="B71" s="29"/>
      <c r="C71" s="27" t="s">
        <v>11</v>
      </c>
      <c r="D71" s="69">
        <f>SUM(D68:D70)</f>
        <v>370.41</v>
      </c>
      <c r="E71" s="40"/>
      <c r="F71" s="28"/>
    </row>
    <row r="72" spans="1:6" ht="12.75">
      <c r="A72" s="55"/>
      <c r="B72" s="29"/>
      <c r="C72" s="65"/>
      <c r="D72" s="27"/>
      <c r="E72" s="40"/>
      <c r="F72" s="28"/>
    </row>
    <row r="73" spans="1:2" ht="25.5">
      <c r="A73" s="55"/>
      <c r="B73" s="247" t="s">
        <v>416</v>
      </c>
    </row>
    <row r="74" spans="1:6" ht="12.75">
      <c r="A74" s="55"/>
      <c r="B74" s="210" t="s">
        <v>156</v>
      </c>
      <c r="C74" s="65"/>
      <c r="D74" s="27"/>
      <c r="E74" s="40"/>
      <c r="F74" s="28"/>
    </row>
    <row r="75" spans="1:6" ht="12.75">
      <c r="A75" s="55"/>
      <c r="B75" s="29" t="s">
        <v>1250</v>
      </c>
      <c r="C75" s="27" t="s">
        <v>11</v>
      </c>
      <c r="D75" s="80">
        <v>308.15</v>
      </c>
      <c r="E75" s="40"/>
      <c r="F75" s="28"/>
    </row>
    <row r="76" spans="1:6" ht="38.25">
      <c r="A76" s="55"/>
      <c r="B76" s="29" t="s">
        <v>1251</v>
      </c>
      <c r="C76" s="27" t="s">
        <v>11</v>
      </c>
      <c r="D76" s="69">
        <v>237.98</v>
      </c>
      <c r="E76" s="40"/>
      <c r="F76" s="28"/>
    </row>
    <row r="77" spans="1:6" ht="38.25">
      <c r="A77" s="55"/>
      <c r="B77" s="29" t="s">
        <v>1252</v>
      </c>
      <c r="C77" s="76" t="s">
        <v>11</v>
      </c>
      <c r="D77" s="85">
        <v>364.41</v>
      </c>
      <c r="E77" s="90"/>
      <c r="F77" s="91"/>
    </row>
    <row r="78" spans="1:6" ht="12.75">
      <c r="A78" s="55"/>
      <c r="B78" s="29"/>
      <c r="C78" s="27" t="s">
        <v>11</v>
      </c>
      <c r="D78" s="69">
        <f>SUM(D75:D77)</f>
        <v>910.54</v>
      </c>
      <c r="E78" s="40"/>
      <c r="F78" s="28"/>
    </row>
    <row r="79" spans="1:6" ht="12.75">
      <c r="A79" s="55"/>
      <c r="B79" s="29"/>
      <c r="C79" s="65"/>
      <c r="D79" s="27"/>
      <c r="E79" s="40"/>
      <c r="F79" s="28"/>
    </row>
    <row r="80" spans="1:6" ht="25.5">
      <c r="A80" s="55"/>
      <c r="B80" s="247" t="s">
        <v>417</v>
      </c>
      <c r="C80" s="65"/>
      <c r="D80" s="27"/>
      <c r="E80" s="40"/>
      <c r="F80" s="28"/>
    </row>
    <row r="81" spans="1:6" s="200" customFormat="1" ht="11.25">
      <c r="A81" s="193"/>
      <c r="B81" s="248"/>
      <c r="C81" s="195"/>
      <c r="D81" s="195"/>
      <c r="E81" s="197"/>
      <c r="F81" s="198"/>
    </row>
    <row r="82" spans="1:6" ht="12.75">
      <c r="A82" s="55"/>
      <c r="B82" s="201" t="s">
        <v>168</v>
      </c>
      <c r="C82" s="65"/>
      <c r="D82" s="27"/>
      <c r="E82" s="40"/>
      <c r="F82" s="28"/>
    </row>
    <row r="83" spans="1:6" ht="12.75">
      <c r="A83" s="55"/>
      <c r="B83" s="93" t="s">
        <v>1253</v>
      </c>
      <c r="C83" s="27" t="s">
        <v>11</v>
      </c>
      <c r="D83" s="27">
        <v>26.54</v>
      </c>
      <c r="E83" s="40"/>
      <c r="F83" s="28"/>
    </row>
    <row r="84" spans="1:6" ht="12.75">
      <c r="A84" s="55"/>
      <c r="B84" s="201"/>
      <c r="C84" s="27"/>
      <c r="D84" s="27"/>
      <c r="E84" s="40"/>
      <c r="F84" s="28"/>
    </row>
    <row r="85" spans="1:6" ht="12.75">
      <c r="A85" s="55"/>
      <c r="B85" s="210" t="s">
        <v>392</v>
      </c>
      <c r="C85" s="27"/>
      <c r="D85" s="69"/>
      <c r="E85" s="40"/>
      <c r="F85" s="28"/>
    </row>
    <row r="86" spans="1:6" ht="12.75">
      <c r="A86" s="55"/>
      <c r="B86" s="29" t="s">
        <v>1256</v>
      </c>
      <c r="C86" s="27" t="s">
        <v>11</v>
      </c>
      <c r="D86" s="69">
        <f>(32.47+34.56*2+32.76+32.91+32)*1.01</f>
        <v>201.2526</v>
      </c>
      <c r="E86" s="40"/>
      <c r="F86" s="28"/>
    </row>
    <row r="87" spans="1:6" ht="12.75">
      <c r="A87" s="55"/>
      <c r="B87" s="29"/>
      <c r="C87" s="65"/>
      <c r="D87" s="27"/>
      <c r="E87" s="40"/>
      <c r="F87" s="28"/>
    </row>
    <row r="88" spans="1:6" ht="114.75">
      <c r="A88" s="58">
        <f>A37+1</f>
        <v>1104</v>
      </c>
      <c r="B88" s="57" t="s">
        <v>1294</v>
      </c>
      <c r="C88" s="65"/>
      <c r="D88" s="27"/>
      <c r="E88" s="28"/>
      <c r="F88" s="28"/>
    </row>
    <row r="89" spans="1:6" ht="25.5">
      <c r="A89" s="58"/>
      <c r="B89" s="57" t="s">
        <v>1293</v>
      </c>
      <c r="C89" s="65"/>
      <c r="D89" s="27"/>
      <c r="E89" s="28"/>
      <c r="F89" s="28"/>
    </row>
    <row r="90" spans="1:6" ht="38.25">
      <c r="A90" s="58"/>
      <c r="B90" s="75" t="s">
        <v>1295</v>
      </c>
      <c r="C90" s="65"/>
      <c r="D90" s="27"/>
      <c r="E90" s="28"/>
      <c r="F90" s="28"/>
    </row>
    <row r="91" spans="1:6" ht="12.75">
      <c r="A91" s="54"/>
      <c r="B91" s="75"/>
      <c r="C91" s="65"/>
      <c r="D91" s="27"/>
      <c r="E91" s="30"/>
      <c r="F91" s="30"/>
    </row>
    <row r="92" spans="1:6" ht="12.75">
      <c r="A92" s="54" t="s">
        <v>19</v>
      </c>
      <c r="B92" s="67" t="s">
        <v>287</v>
      </c>
      <c r="C92" s="65"/>
      <c r="D92" s="27"/>
      <c r="E92" s="30"/>
      <c r="F92" s="30"/>
    </row>
    <row r="93" spans="1:4" ht="12.75">
      <c r="A93" s="54"/>
      <c r="B93" s="92" t="s">
        <v>177</v>
      </c>
      <c r="C93" s="27"/>
      <c r="D93" s="41"/>
    </row>
    <row r="94" spans="1:4" ht="12.75">
      <c r="A94" s="54"/>
      <c r="B94" s="29" t="s">
        <v>1257</v>
      </c>
      <c r="C94" s="27" t="s">
        <v>11</v>
      </c>
      <c r="D94" s="41">
        <v>16.12</v>
      </c>
    </row>
    <row r="95" spans="1:4" s="200" customFormat="1" ht="11.25">
      <c r="A95" s="203"/>
      <c r="B95" s="243"/>
      <c r="C95" s="195"/>
      <c r="D95" s="199"/>
    </row>
    <row r="96" spans="1:4" ht="12.75">
      <c r="A96" s="54"/>
      <c r="B96" s="92" t="s">
        <v>63</v>
      </c>
      <c r="C96" s="27"/>
      <c r="D96" s="41"/>
    </row>
    <row r="97" spans="1:4" ht="12.75">
      <c r="A97" s="54"/>
      <c r="B97" s="47" t="s">
        <v>880</v>
      </c>
      <c r="C97" s="76" t="s">
        <v>11</v>
      </c>
      <c r="D97" s="71">
        <f>(20.43+23.68+15.12+32.33)*1.01</f>
        <v>92.4756</v>
      </c>
    </row>
    <row r="98" spans="1:6" ht="12.75">
      <c r="A98" s="55"/>
      <c r="B98" s="29"/>
      <c r="C98" s="27" t="s">
        <v>11</v>
      </c>
      <c r="D98" s="69">
        <f>SUM(D94:D97)</f>
        <v>108.5956</v>
      </c>
      <c r="E98" s="87"/>
      <c r="F98" s="88"/>
    </row>
    <row r="99" spans="1:6" ht="12.75">
      <c r="A99" s="55"/>
      <c r="B99" s="29"/>
      <c r="C99" s="27"/>
      <c r="D99" s="69"/>
      <c r="E99" s="40"/>
      <c r="F99" s="28"/>
    </row>
    <row r="100" spans="1:6" ht="76.5">
      <c r="A100" s="186">
        <f>A88+1</f>
        <v>1105</v>
      </c>
      <c r="B100" s="57" t="s">
        <v>179</v>
      </c>
      <c r="C100" s="27"/>
      <c r="D100" s="69"/>
      <c r="E100" s="40"/>
      <c r="F100" s="28"/>
    </row>
    <row r="101" spans="1:6" ht="89.25">
      <c r="A101" s="55"/>
      <c r="B101" s="57" t="s">
        <v>178</v>
      </c>
      <c r="C101" s="27"/>
      <c r="D101" s="69"/>
      <c r="E101" s="40"/>
      <c r="F101" s="28"/>
    </row>
    <row r="102" spans="1:6" ht="12.75">
      <c r="A102" s="55"/>
      <c r="B102" s="57" t="s">
        <v>34</v>
      </c>
      <c r="C102" s="27"/>
      <c r="D102" s="69"/>
      <c r="E102" s="40"/>
      <c r="F102" s="28"/>
    </row>
    <row r="103" spans="1:6" ht="12.75">
      <c r="A103" s="55"/>
      <c r="B103" s="92" t="s">
        <v>177</v>
      </c>
      <c r="C103" s="27"/>
      <c r="D103" s="69"/>
      <c r="E103" s="40"/>
      <c r="F103" s="28"/>
    </row>
    <row r="104" spans="1:6" ht="12.75">
      <c r="A104" s="55"/>
      <c r="B104" s="20" t="s">
        <v>157</v>
      </c>
      <c r="C104" s="27"/>
      <c r="D104" s="69"/>
      <c r="E104" s="40"/>
      <c r="F104" s="28"/>
    </row>
    <row r="105" spans="1:6" ht="25.5">
      <c r="A105" s="55"/>
      <c r="B105" s="57" t="s">
        <v>1258</v>
      </c>
      <c r="C105" s="76" t="s">
        <v>11</v>
      </c>
      <c r="D105" s="85">
        <f>(28.33+22.87+33.37+5.51+329.39-7.88-6.7*2)*1.01</f>
        <v>402.1719</v>
      </c>
      <c r="E105" s="90"/>
      <c r="F105" s="91"/>
    </row>
    <row r="106" spans="1:6" ht="12.75">
      <c r="A106" s="55"/>
      <c r="B106" s="39"/>
      <c r="C106" s="27" t="s">
        <v>11</v>
      </c>
      <c r="D106" s="69">
        <f>SUM(D105)</f>
        <v>402.1719</v>
      </c>
      <c r="E106" s="87"/>
      <c r="F106" s="88"/>
    </row>
    <row r="107" spans="1:6" ht="12.75">
      <c r="A107" s="54"/>
      <c r="B107" s="29"/>
      <c r="C107" s="27"/>
      <c r="D107" s="27"/>
      <c r="E107" s="30"/>
      <c r="F107" s="30"/>
    </row>
    <row r="108" spans="1:6" s="41" customFormat="1" ht="38.25">
      <c r="A108" s="186">
        <f>A100+1</f>
        <v>1106</v>
      </c>
      <c r="B108" s="162" t="s">
        <v>180</v>
      </c>
      <c r="C108" s="27"/>
      <c r="D108" s="27"/>
      <c r="E108" s="28"/>
      <c r="F108" s="28"/>
    </row>
    <row r="109" spans="1:6" s="41" customFormat="1" ht="127.5">
      <c r="A109" s="54"/>
      <c r="B109" s="38" t="s">
        <v>453</v>
      </c>
      <c r="C109" s="8"/>
      <c r="D109" s="8"/>
      <c r="E109" s="40"/>
      <c r="F109" s="28"/>
    </row>
    <row r="110" spans="1:6" s="41" customFormat="1" ht="51">
      <c r="A110" s="54"/>
      <c r="B110" s="38" t="s">
        <v>1259</v>
      </c>
      <c r="C110" s="8"/>
      <c r="D110" s="8"/>
      <c r="E110" s="40"/>
      <c r="F110" s="28"/>
    </row>
    <row r="111" spans="1:6" s="41" customFormat="1" ht="25.5">
      <c r="A111" s="54"/>
      <c r="B111" s="38" t="s">
        <v>1260</v>
      </c>
      <c r="C111" s="8"/>
      <c r="D111" s="8"/>
      <c r="E111" s="40"/>
      <c r="F111" s="28"/>
    </row>
    <row r="112" spans="1:6" s="41" customFormat="1" ht="12.75">
      <c r="A112" s="54"/>
      <c r="B112" s="57" t="s">
        <v>176</v>
      </c>
      <c r="C112" s="8"/>
      <c r="D112" s="8"/>
      <c r="E112" s="40"/>
      <c r="F112" s="28"/>
    </row>
    <row r="113" spans="1:6" s="41" customFormat="1" ht="12.75">
      <c r="A113" s="55"/>
      <c r="B113" s="92" t="s">
        <v>177</v>
      </c>
      <c r="C113" s="27"/>
      <c r="D113" s="27"/>
      <c r="E113" s="28"/>
      <c r="F113" s="28"/>
    </row>
    <row r="114" spans="1:6" ht="12.75">
      <c r="A114" s="55"/>
      <c r="B114" s="20" t="s">
        <v>157</v>
      </c>
      <c r="C114" s="27"/>
      <c r="D114" s="69"/>
      <c r="E114" s="40"/>
      <c r="F114" s="28"/>
    </row>
    <row r="115" spans="1:6" ht="25.5">
      <c r="A115" s="55"/>
      <c r="B115" s="57" t="s">
        <v>1258</v>
      </c>
      <c r="C115" s="76" t="s">
        <v>11</v>
      </c>
      <c r="D115" s="85">
        <f>(28.33+22.87+33.37+5.51+329.39-7.88-6.7*2)*1.01</f>
        <v>402.1719</v>
      </c>
      <c r="E115" s="90"/>
      <c r="F115" s="91"/>
    </row>
    <row r="116" spans="1:6" ht="12.75">
      <c r="A116" s="55"/>
      <c r="B116" s="39"/>
      <c r="C116" s="27" t="s">
        <v>11</v>
      </c>
      <c r="D116" s="69">
        <f>SUM(D115)</f>
        <v>402.1719</v>
      </c>
      <c r="E116" s="87"/>
      <c r="F116" s="88"/>
    </row>
    <row r="117" spans="1:6" s="41" customFormat="1" ht="12.75">
      <c r="A117" s="53"/>
      <c r="B117" s="42"/>
      <c r="C117" s="64"/>
      <c r="D117" s="2"/>
      <c r="E117" s="2"/>
      <c r="F117" s="2"/>
    </row>
    <row r="118" spans="1:6" s="41" customFormat="1" ht="140.25">
      <c r="A118" s="53">
        <f>A108+1</f>
        <v>1107</v>
      </c>
      <c r="B118" s="223" t="s">
        <v>268</v>
      </c>
      <c r="C118" s="64"/>
      <c r="D118" s="2"/>
      <c r="E118" s="2"/>
      <c r="F118" s="2"/>
    </row>
    <row r="119" spans="1:6" s="41" customFormat="1" ht="76.5">
      <c r="A119" s="53"/>
      <c r="B119" s="223" t="s">
        <v>263</v>
      </c>
      <c r="C119" s="64"/>
      <c r="D119" s="2"/>
      <c r="E119" s="2"/>
      <c r="F119" s="2"/>
    </row>
    <row r="120" spans="1:6" s="41" customFormat="1" ht="25.5">
      <c r="A120" s="53"/>
      <c r="B120" s="223" t="s">
        <v>264</v>
      </c>
      <c r="C120" s="64"/>
      <c r="D120" s="2"/>
      <c r="E120" s="2"/>
      <c r="F120" s="2"/>
    </row>
    <row r="121" spans="1:6" s="41" customFormat="1" ht="38.25">
      <c r="A121" s="53"/>
      <c r="B121" s="223" t="s">
        <v>309</v>
      </c>
      <c r="C121" s="64"/>
      <c r="D121" s="2"/>
      <c r="E121" s="2"/>
      <c r="F121" s="2"/>
    </row>
    <row r="122" spans="1:6" s="41" customFormat="1" ht="12.75">
      <c r="A122" s="53"/>
      <c r="B122" s="223" t="s">
        <v>265</v>
      </c>
      <c r="C122" s="64"/>
      <c r="D122" s="2"/>
      <c r="E122" s="2"/>
      <c r="F122" s="2"/>
    </row>
    <row r="123" spans="1:6" s="41" customFormat="1" ht="14.25">
      <c r="A123" s="53"/>
      <c r="B123" s="224" t="s">
        <v>266</v>
      </c>
      <c r="C123" s="64"/>
      <c r="D123" s="2"/>
      <c r="E123" s="3"/>
      <c r="F123" s="3"/>
    </row>
    <row r="124" spans="1:2" s="41" customFormat="1" ht="12.75">
      <c r="A124" s="53"/>
      <c r="B124" s="42" t="s">
        <v>157</v>
      </c>
    </row>
    <row r="125" spans="1:6" s="41" customFormat="1" ht="12.75">
      <c r="A125" s="53"/>
      <c r="B125" s="7" t="s">
        <v>269</v>
      </c>
      <c r="C125" s="27" t="s">
        <v>11</v>
      </c>
      <c r="D125" s="72">
        <v>17.2</v>
      </c>
      <c r="E125" s="40"/>
      <c r="F125" s="28"/>
    </row>
    <row r="126" spans="1:6" s="41" customFormat="1" ht="12.75">
      <c r="A126" s="53"/>
      <c r="B126" s="7"/>
      <c r="C126" s="27"/>
      <c r="D126" s="72"/>
      <c r="E126" s="40"/>
      <c r="F126" s="28"/>
    </row>
    <row r="127" spans="1:6" s="41" customFormat="1" ht="12.75">
      <c r="A127" s="53"/>
      <c r="B127" s="7"/>
      <c r="C127" s="27"/>
      <c r="D127" s="72"/>
      <c r="E127" s="40"/>
      <c r="F127" s="28"/>
    </row>
    <row r="128" spans="1:6" s="41" customFormat="1" ht="89.25">
      <c r="A128" s="53">
        <f>A118+1</f>
        <v>1108</v>
      </c>
      <c r="B128" s="7" t="s">
        <v>294</v>
      </c>
      <c r="C128" s="27"/>
      <c r="D128" s="72"/>
      <c r="E128" s="40"/>
      <c r="F128" s="28"/>
    </row>
    <row r="129" spans="1:6" s="41" customFormat="1" ht="25.5">
      <c r="A129" s="53"/>
      <c r="B129" s="7" t="s">
        <v>293</v>
      </c>
      <c r="C129" s="27"/>
      <c r="D129" s="72"/>
      <c r="E129" s="40"/>
      <c r="F129" s="28"/>
    </row>
    <row r="130" spans="1:6" s="41" customFormat="1" ht="12.75">
      <c r="A130" s="53"/>
      <c r="B130" s="11" t="s">
        <v>1261</v>
      </c>
      <c r="C130" s="27" t="s">
        <v>13</v>
      </c>
      <c r="D130" s="72">
        <f>3*4*2</f>
        <v>24</v>
      </c>
      <c r="E130" s="40"/>
      <c r="F130" s="28"/>
    </row>
    <row r="131" spans="1:6" s="41" customFormat="1" ht="12.75">
      <c r="A131" s="55"/>
      <c r="B131" s="29"/>
      <c r="C131" s="65"/>
      <c r="D131" s="27"/>
      <c r="E131" s="30"/>
      <c r="F131" s="30"/>
    </row>
    <row r="132" spans="1:6" s="41" customFormat="1" ht="12.75">
      <c r="A132" s="147"/>
      <c r="B132" s="4"/>
      <c r="C132" s="148"/>
      <c r="D132" s="4"/>
      <c r="E132" s="149"/>
      <c r="F132" s="150"/>
    </row>
    <row r="133" spans="1:6" ht="12.75">
      <c r="A133" s="131">
        <f>A4</f>
        <v>1100</v>
      </c>
      <c r="B133" s="132" t="str">
        <f>B4</f>
        <v>PODOPOLAGAČKI RADOVI</v>
      </c>
      <c r="C133" s="133" t="s">
        <v>1485</v>
      </c>
      <c r="D133" s="113"/>
      <c r="E133" s="134"/>
      <c r="F133" s="135"/>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F163"/>
  <sheetViews>
    <sheetView zoomScaleSheetLayoutView="110" zoomScalePageLayoutView="0" workbookViewId="0" topLeftCell="A1">
      <pane ySplit="2" topLeftCell="A63" activePane="bottomLeft" state="frozen"/>
      <selection pane="topLeft" activeCell="C203" sqref="C203"/>
      <selection pane="bottomLeft" activeCell="C203" sqref="C203"/>
    </sheetView>
  </sheetViews>
  <sheetFormatPr defaultColWidth="8.88671875" defaultRowHeight="15"/>
  <cols>
    <col min="1" max="1" width="5.77734375" style="351" customWidth="1"/>
    <col min="2" max="2" width="35.77734375" style="345" customWidth="1"/>
    <col min="3" max="3" width="7.77734375" style="421" customWidth="1"/>
    <col min="4" max="4" width="7.77734375" style="345" customWidth="1"/>
    <col min="5" max="5" width="10.77734375" style="345" customWidth="1"/>
    <col min="6" max="6" width="12.77734375" style="345" customWidth="1"/>
    <col min="7" max="16384" width="8.88671875" style="345" customWidth="1"/>
  </cols>
  <sheetData>
    <row r="1" spans="1:6" ht="25.5" customHeight="1">
      <c r="A1" s="338" t="s">
        <v>6</v>
      </c>
      <c r="B1" s="352" t="s">
        <v>7</v>
      </c>
      <c r="C1" s="353" t="s">
        <v>8</v>
      </c>
      <c r="D1" s="354" t="s">
        <v>9</v>
      </c>
      <c r="E1" s="355" t="s">
        <v>1481</v>
      </c>
      <c r="F1" s="354" t="s">
        <v>1482</v>
      </c>
    </row>
    <row r="2" spans="1:6" ht="12.75">
      <c r="A2" s="339" t="s">
        <v>0</v>
      </c>
      <c r="B2" s="352" t="s">
        <v>1</v>
      </c>
      <c r="C2" s="356" t="s">
        <v>2</v>
      </c>
      <c r="D2" s="352" t="s">
        <v>3</v>
      </c>
      <c r="E2" s="352" t="s">
        <v>4</v>
      </c>
      <c r="F2" s="352" t="s">
        <v>5</v>
      </c>
    </row>
    <row r="3" spans="1:6" s="359" customFormat="1" ht="11.25">
      <c r="A3" s="357"/>
      <c r="B3" s="358"/>
      <c r="C3" s="358"/>
      <c r="D3" s="358"/>
      <c r="E3" s="358"/>
      <c r="F3" s="358"/>
    </row>
    <row r="4" spans="1:6" s="365" customFormat="1" ht="12.75">
      <c r="A4" s="360">
        <f>'podopolagacki radovi'!A4+100</f>
        <v>1200</v>
      </c>
      <c r="B4" s="361" t="s">
        <v>66</v>
      </c>
      <c r="C4" s="362"/>
      <c r="D4" s="363"/>
      <c r="E4" s="363"/>
      <c r="F4" s="363"/>
    </row>
    <row r="5" spans="1:6" s="369" customFormat="1" ht="11.25">
      <c r="A5" s="366"/>
      <c r="B5" s="367"/>
      <c r="C5" s="368"/>
      <c r="D5" s="368"/>
      <c r="E5" s="368"/>
      <c r="F5" s="368"/>
    </row>
    <row r="6" spans="1:6" s="365" customFormat="1" ht="63.75">
      <c r="A6" s="370"/>
      <c r="B6" s="371" t="s">
        <v>220</v>
      </c>
      <c r="C6" s="372"/>
      <c r="D6" s="373"/>
      <c r="E6" s="373"/>
      <c r="F6" s="373"/>
    </row>
    <row r="7" spans="1:6" s="365" customFormat="1" ht="165.75">
      <c r="A7" s="370"/>
      <c r="B7" s="371" t="s">
        <v>67</v>
      </c>
      <c r="C7" s="372"/>
      <c r="D7" s="373"/>
      <c r="E7" s="373"/>
      <c r="F7" s="373"/>
    </row>
    <row r="8" spans="1:6" s="365" customFormat="1" ht="63.75">
      <c r="A8" s="370"/>
      <c r="B8" s="371" t="s">
        <v>68</v>
      </c>
      <c r="C8" s="372"/>
      <c r="D8" s="373"/>
      <c r="E8" s="373"/>
      <c r="F8" s="373"/>
    </row>
    <row r="9" spans="1:6" s="365" customFormat="1" ht="12.75">
      <c r="A9" s="370"/>
      <c r="B9" s="374"/>
      <c r="C9" s="372"/>
      <c r="D9" s="373"/>
      <c r="E9" s="373"/>
      <c r="F9" s="373"/>
    </row>
    <row r="10" spans="1:3" s="365" customFormat="1" ht="216.75">
      <c r="A10" s="375">
        <f>A4+1</f>
        <v>1201</v>
      </c>
      <c r="B10" s="271" t="s">
        <v>510</v>
      </c>
      <c r="C10" s="376"/>
    </row>
    <row r="11" spans="1:6" s="365" customFormat="1" ht="25.5">
      <c r="A11" s="370"/>
      <c r="B11" s="174" t="s">
        <v>83</v>
      </c>
      <c r="C11" s="377"/>
      <c r="D11" s="378"/>
      <c r="E11" s="126"/>
      <c r="F11" s="126"/>
    </row>
    <row r="12" spans="1:6" s="365" customFormat="1" ht="25.5">
      <c r="A12" s="370"/>
      <c r="B12" s="271" t="s">
        <v>69</v>
      </c>
      <c r="C12" s="377"/>
      <c r="D12" s="378"/>
      <c r="E12" s="126"/>
      <c r="F12" s="126"/>
    </row>
    <row r="13" spans="1:3" s="365" customFormat="1" ht="12.75">
      <c r="A13" s="379" t="s">
        <v>39</v>
      </c>
      <c r="B13" s="380" t="s">
        <v>509</v>
      </c>
      <c r="C13" s="376"/>
    </row>
    <row r="14" spans="1:3" s="365" customFormat="1" ht="12.75">
      <c r="A14" s="370" t="s">
        <v>19</v>
      </c>
      <c r="B14" s="166" t="s">
        <v>287</v>
      </c>
      <c r="C14" s="376"/>
    </row>
    <row r="15" spans="1:4" s="365" customFormat="1" ht="25.5">
      <c r="A15" s="370"/>
      <c r="B15" s="371" t="s">
        <v>70</v>
      </c>
      <c r="C15" s="378" t="s">
        <v>11</v>
      </c>
      <c r="D15" s="364">
        <f>51.9*1.01</f>
        <v>52.419</v>
      </c>
    </row>
    <row r="16" spans="1:4" s="365" customFormat="1" ht="25.5">
      <c r="A16" s="370"/>
      <c r="B16" s="381" t="s">
        <v>71</v>
      </c>
      <c r="C16" s="378" t="s">
        <v>11</v>
      </c>
      <c r="D16" s="364">
        <f>(15.7+16.25)*1.01</f>
        <v>32.2695</v>
      </c>
    </row>
    <row r="17" spans="1:6" s="365" customFormat="1" ht="25.5">
      <c r="A17" s="370"/>
      <c r="B17" s="381" t="s">
        <v>72</v>
      </c>
      <c r="C17" s="383" t="s">
        <v>11</v>
      </c>
      <c r="D17" s="384">
        <f>(16.45+17)*1.01</f>
        <v>33.7845</v>
      </c>
      <c r="E17" s="385"/>
      <c r="F17" s="385"/>
    </row>
    <row r="18" spans="1:6" s="365" customFormat="1" ht="12.75">
      <c r="A18" s="370"/>
      <c r="C18" s="378" t="s">
        <v>11</v>
      </c>
      <c r="D18" s="386">
        <f>SUM(D15:D17)</f>
        <v>118.47300000000001</v>
      </c>
      <c r="E18" s="126"/>
      <c r="F18" s="126"/>
    </row>
    <row r="19" spans="1:6" s="365" customFormat="1" ht="12.75">
      <c r="A19" s="370"/>
      <c r="C19" s="378"/>
      <c r="D19" s="386"/>
      <c r="E19" s="126"/>
      <c r="F19" s="126"/>
    </row>
    <row r="20" spans="1:3" s="365" customFormat="1" ht="12.75">
      <c r="A20" s="370" t="s">
        <v>76</v>
      </c>
      <c r="B20" s="166" t="s">
        <v>157</v>
      </c>
      <c r="C20" s="376"/>
    </row>
    <row r="21" spans="1:6" s="365" customFormat="1" ht="25.5">
      <c r="A21" s="370"/>
      <c r="B21" s="387" t="s">
        <v>204</v>
      </c>
      <c r="C21" s="378" t="s">
        <v>11</v>
      </c>
      <c r="D21" s="386">
        <f>(111.31+8.23)*1.01</f>
        <v>120.73540000000001</v>
      </c>
      <c r="E21" s="126"/>
      <c r="F21" s="126"/>
    </row>
    <row r="22" spans="1:6" s="365" customFormat="1" ht="12.75">
      <c r="A22" s="370"/>
      <c r="C22" s="378"/>
      <c r="D22" s="386"/>
      <c r="E22" s="126"/>
      <c r="F22" s="126"/>
    </row>
    <row r="23" spans="1:3" s="365" customFormat="1" ht="38.25">
      <c r="A23" s="370" t="s">
        <v>194</v>
      </c>
      <c r="B23" s="211" t="s">
        <v>201</v>
      </c>
      <c r="C23" s="376"/>
    </row>
    <row r="24" spans="1:6" s="365" customFormat="1" ht="25.5">
      <c r="A24" s="370"/>
      <c r="B24" s="171" t="s">
        <v>200</v>
      </c>
      <c r="C24" s="378" t="s">
        <v>11</v>
      </c>
      <c r="D24" s="364">
        <f>(5.2+0.65+0.5)*1.01</f>
        <v>6.413500000000001</v>
      </c>
      <c r="E24" s="126"/>
      <c r="F24" s="126"/>
    </row>
    <row r="25" spans="1:6" s="365" customFormat="1" ht="12.75">
      <c r="A25" s="370"/>
      <c r="B25" s="171" t="s">
        <v>359</v>
      </c>
      <c r="C25" s="378" t="s">
        <v>13</v>
      </c>
      <c r="D25" s="364">
        <f>(5.5+3.3+2.3)*1.01</f>
        <v>11.211000000000002</v>
      </c>
      <c r="E25" s="126"/>
      <c r="F25" s="126"/>
    </row>
    <row r="26" spans="1:3" s="365" customFormat="1" ht="12.75">
      <c r="A26" s="370"/>
      <c r="B26" s="171"/>
      <c r="C26" s="376"/>
    </row>
    <row r="27" spans="1:3" s="365" customFormat="1" ht="12.75">
      <c r="A27" s="370" t="s">
        <v>197</v>
      </c>
      <c r="B27" s="388" t="s">
        <v>338</v>
      </c>
      <c r="C27" s="376"/>
    </row>
    <row r="28" spans="1:6" s="365" customFormat="1" ht="25.5">
      <c r="A28" s="370"/>
      <c r="B28" s="171" t="s">
        <v>366</v>
      </c>
      <c r="C28" s="378" t="s">
        <v>11</v>
      </c>
      <c r="D28" s="364">
        <f>(15.4+298.27)*1.01</f>
        <v>316.8067</v>
      </c>
      <c r="E28" s="126"/>
      <c r="F28" s="126"/>
    </row>
    <row r="29" spans="1:6" s="365" customFormat="1" ht="25.5">
      <c r="A29" s="370"/>
      <c r="B29" s="171" t="s">
        <v>367</v>
      </c>
      <c r="C29" s="378" t="s">
        <v>11</v>
      </c>
      <c r="D29" s="364">
        <f>30.87*1.01</f>
        <v>31.178700000000003</v>
      </c>
      <c r="E29" s="126"/>
      <c r="F29" s="126"/>
    </row>
    <row r="30" spans="1:6" s="365" customFormat="1" ht="12.75">
      <c r="A30" s="370"/>
      <c r="B30" s="171"/>
      <c r="C30" s="378"/>
      <c r="D30" s="364"/>
      <c r="E30" s="126"/>
      <c r="F30" s="126"/>
    </row>
    <row r="31" spans="1:6" s="365" customFormat="1" ht="25.5">
      <c r="A31" s="379" t="s">
        <v>40</v>
      </c>
      <c r="B31" s="380" t="s">
        <v>511</v>
      </c>
      <c r="C31" s="378"/>
      <c r="D31" s="364"/>
      <c r="E31" s="126"/>
      <c r="F31" s="126"/>
    </row>
    <row r="32" spans="1:6" s="365" customFormat="1" ht="12.75">
      <c r="A32" s="370"/>
      <c r="B32" s="166" t="s">
        <v>168</v>
      </c>
      <c r="C32" s="378"/>
      <c r="D32" s="364"/>
      <c r="E32" s="126"/>
      <c r="F32" s="126"/>
    </row>
    <row r="33" spans="1:6" s="365" customFormat="1" ht="12.75">
      <c r="A33" s="370"/>
      <c r="B33" s="371" t="s">
        <v>512</v>
      </c>
      <c r="C33" s="378" t="s">
        <v>406</v>
      </c>
      <c r="D33" s="364">
        <v>35.08</v>
      </c>
      <c r="E33" s="126"/>
      <c r="F33" s="126"/>
    </row>
    <row r="34" spans="1:6" s="365" customFormat="1" ht="12.75">
      <c r="A34" s="370"/>
      <c r="B34" s="371"/>
      <c r="C34" s="378"/>
      <c r="D34" s="364"/>
      <c r="E34" s="126"/>
      <c r="F34" s="126"/>
    </row>
    <row r="35" spans="1:6" s="365" customFormat="1" ht="12.75">
      <c r="A35" s="370"/>
      <c r="B35" s="389" t="s">
        <v>533</v>
      </c>
      <c r="C35" s="378"/>
      <c r="D35" s="364"/>
      <c r="E35" s="126"/>
      <c r="F35" s="126"/>
    </row>
    <row r="36" spans="1:6" s="365" customFormat="1" ht="12.75">
      <c r="A36" s="370"/>
      <c r="B36" s="390" t="s">
        <v>535</v>
      </c>
      <c r="C36" s="378" t="s">
        <v>406</v>
      </c>
      <c r="D36" s="364">
        <v>17.41</v>
      </c>
      <c r="E36" s="126"/>
      <c r="F36" s="126"/>
    </row>
    <row r="37" spans="1:6" s="365" customFormat="1" ht="12.75">
      <c r="A37" s="370"/>
      <c r="B37" s="371"/>
      <c r="C37" s="378"/>
      <c r="D37" s="364"/>
      <c r="E37" s="126"/>
      <c r="F37" s="126"/>
    </row>
    <row r="38" spans="1:6" s="365" customFormat="1" ht="204">
      <c r="A38" s="370">
        <f>A10+1</f>
        <v>1202</v>
      </c>
      <c r="B38" s="371" t="s">
        <v>515</v>
      </c>
      <c r="C38" s="378"/>
      <c r="D38" s="364"/>
      <c r="E38" s="126"/>
      <c r="F38" s="126"/>
    </row>
    <row r="39" spans="1:6" s="365" customFormat="1" ht="25.5">
      <c r="A39" s="370"/>
      <c r="B39" s="174" t="s">
        <v>83</v>
      </c>
      <c r="C39" s="378"/>
      <c r="D39" s="364"/>
      <c r="E39" s="126"/>
      <c r="F39" s="126"/>
    </row>
    <row r="40" spans="1:6" s="365" customFormat="1" ht="25.5">
      <c r="A40" s="370"/>
      <c r="B40" s="271" t="s">
        <v>69</v>
      </c>
      <c r="C40" s="378"/>
      <c r="D40" s="364"/>
      <c r="E40" s="126"/>
      <c r="F40" s="126"/>
    </row>
    <row r="41" spans="1:6" s="365" customFormat="1" ht="25.5">
      <c r="A41" s="370"/>
      <c r="B41" s="371" t="s">
        <v>513</v>
      </c>
      <c r="C41" s="378"/>
      <c r="D41" s="364"/>
      <c r="E41" s="126"/>
      <c r="F41" s="126"/>
    </row>
    <row r="42" spans="1:6" s="365" customFormat="1" ht="12.75">
      <c r="A42" s="370"/>
      <c r="B42" s="166" t="s">
        <v>157</v>
      </c>
      <c r="C42" s="378"/>
      <c r="D42" s="364"/>
      <c r="E42" s="126"/>
      <c r="F42" s="126"/>
    </row>
    <row r="43" spans="1:6" s="365" customFormat="1" ht="25.5">
      <c r="A43" s="370"/>
      <c r="B43" s="371" t="s">
        <v>514</v>
      </c>
      <c r="C43" s="378" t="s">
        <v>406</v>
      </c>
      <c r="D43" s="364">
        <v>35.08</v>
      </c>
      <c r="E43" s="126"/>
      <c r="F43" s="126"/>
    </row>
    <row r="44" spans="1:6" s="365" customFormat="1" ht="12.75">
      <c r="A44" s="370"/>
      <c r="C44" s="378"/>
      <c r="D44" s="364"/>
      <c r="E44" s="126"/>
      <c r="F44" s="126"/>
    </row>
    <row r="45" spans="1:6" s="365" customFormat="1" ht="76.5">
      <c r="A45" s="370">
        <f>A38+1</f>
        <v>1203</v>
      </c>
      <c r="B45" s="172" t="s">
        <v>428</v>
      </c>
      <c r="C45" s="377"/>
      <c r="D45" s="378"/>
      <c r="E45" s="126"/>
      <c r="F45" s="126"/>
    </row>
    <row r="46" spans="1:6" s="365" customFormat="1" ht="102">
      <c r="A46" s="370"/>
      <c r="B46" s="172" t="s">
        <v>427</v>
      </c>
      <c r="C46" s="377"/>
      <c r="D46" s="378"/>
      <c r="E46" s="126"/>
      <c r="F46" s="126"/>
    </row>
    <row r="47" spans="1:6" s="365" customFormat="1" ht="25.5">
      <c r="A47" s="370"/>
      <c r="B47" s="174" t="s">
        <v>83</v>
      </c>
      <c r="C47" s="377"/>
      <c r="D47" s="378"/>
      <c r="E47" s="126"/>
      <c r="F47" s="126"/>
    </row>
    <row r="48" spans="1:6" s="365" customFormat="1" ht="25.5">
      <c r="A48" s="370"/>
      <c r="B48" s="174" t="s">
        <v>69</v>
      </c>
      <c r="C48" s="377"/>
      <c r="D48" s="378"/>
      <c r="E48" s="126"/>
      <c r="F48" s="126"/>
    </row>
    <row r="49" spans="1:6" s="365" customFormat="1" ht="25.5">
      <c r="A49" s="370"/>
      <c r="B49" s="371" t="s">
        <v>429</v>
      </c>
      <c r="C49" s="377"/>
      <c r="D49" s="378"/>
      <c r="E49" s="391"/>
      <c r="F49" s="391"/>
    </row>
    <row r="50" spans="1:3" s="365" customFormat="1" ht="12.75">
      <c r="A50" s="370" t="s">
        <v>19</v>
      </c>
      <c r="B50" s="166" t="s">
        <v>288</v>
      </c>
      <c r="C50" s="376"/>
    </row>
    <row r="51" spans="1:6" s="365" customFormat="1" ht="25.5">
      <c r="A51" s="370"/>
      <c r="B51" s="371" t="s">
        <v>73</v>
      </c>
      <c r="C51" s="378" t="s">
        <v>11</v>
      </c>
      <c r="D51" s="364">
        <f>(16.6+29.95+18.3+93.65+5.95)*1.01</f>
        <v>166.09449999999998</v>
      </c>
      <c r="E51" s="126"/>
      <c r="F51" s="126"/>
    </row>
    <row r="52" spans="1:6" s="365" customFormat="1" ht="25.5">
      <c r="A52" s="370"/>
      <c r="B52" s="381" t="s">
        <v>74</v>
      </c>
      <c r="C52" s="378" t="s">
        <v>11</v>
      </c>
      <c r="D52" s="364">
        <f>159.55*1.01</f>
        <v>161.14550000000003</v>
      </c>
      <c r="E52" s="126"/>
      <c r="F52" s="126"/>
    </row>
    <row r="53" spans="1:6" s="365" customFormat="1" ht="25.5">
      <c r="A53" s="370"/>
      <c r="B53" s="381" t="s">
        <v>75</v>
      </c>
      <c r="C53" s="378" t="s">
        <v>11</v>
      </c>
      <c r="D53" s="382">
        <f>89.75*1.01</f>
        <v>90.6475</v>
      </c>
      <c r="E53" s="126"/>
      <c r="F53" s="126"/>
    </row>
    <row r="54" spans="1:6" s="365" customFormat="1" ht="12.75">
      <c r="A54" s="370"/>
      <c r="C54" s="378"/>
      <c r="D54" s="386"/>
      <c r="E54" s="126"/>
      <c r="F54" s="126"/>
    </row>
    <row r="55" spans="1:6" s="365" customFormat="1" ht="12.75">
      <c r="A55" s="370" t="s">
        <v>76</v>
      </c>
      <c r="B55" s="166" t="s">
        <v>289</v>
      </c>
      <c r="C55" s="377"/>
      <c r="D55" s="378"/>
      <c r="E55" s="126"/>
      <c r="F55" s="126"/>
    </row>
    <row r="56" spans="1:6" s="365" customFormat="1" ht="25.5">
      <c r="A56" s="370"/>
      <c r="B56" s="371" t="s">
        <v>77</v>
      </c>
      <c r="C56" s="378" t="s">
        <v>11</v>
      </c>
      <c r="D56" s="364">
        <f>(522.35-10.92-11.25)*1.01</f>
        <v>505.1818</v>
      </c>
      <c r="E56" s="126"/>
      <c r="F56" s="126"/>
    </row>
    <row r="57" spans="1:6" s="365" customFormat="1" ht="25.5">
      <c r="A57" s="370"/>
      <c r="B57" s="381" t="s">
        <v>74</v>
      </c>
      <c r="C57" s="378" t="s">
        <v>11</v>
      </c>
      <c r="D57" s="364">
        <f>241.96*1.01</f>
        <v>244.3796</v>
      </c>
      <c r="E57" s="126"/>
      <c r="F57" s="126"/>
    </row>
    <row r="58" spans="1:6" s="365" customFormat="1" ht="38.25">
      <c r="A58" s="370"/>
      <c r="B58" s="381" t="s">
        <v>78</v>
      </c>
      <c r="C58" s="378" t="s">
        <v>11</v>
      </c>
      <c r="D58" s="382">
        <f>(16.55+10.85)*1.01</f>
        <v>27.674</v>
      </c>
      <c r="E58" s="126"/>
      <c r="F58" s="126"/>
    </row>
    <row r="59" spans="1:6" s="365" customFormat="1" ht="38.25">
      <c r="A59" s="370"/>
      <c r="B59" s="381" t="s">
        <v>79</v>
      </c>
      <c r="C59" s="378" t="s">
        <v>11</v>
      </c>
      <c r="D59" s="386">
        <f>18*1.01</f>
        <v>18.18</v>
      </c>
      <c r="E59" s="126"/>
      <c r="F59" s="126"/>
    </row>
    <row r="60" spans="1:6" s="365" customFormat="1" ht="12.75">
      <c r="A60" s="370"/>
      <c r="B60" s="381"/>
      <c r="C60" s="378"/>
      <c r="D60" s="386"/>
      <c r="E60" s="126"/>
      <c r="F60" s="126"/>
    </row>
    <row r="61" spans="1:6" s="365" customFormat="1" ht="12.75">
      <c r="A61" s="370" t="s">
        <v>194</v>
      </c>
      <c r="B61" s="166" t="s">
        <v>198</v>
      </c>
      <c r="C61" s="378"/>
      <c r="D61" s="386"/>
      <c r="E61" s="126"/>
      <c r="F61" s="126"/>
    </row>
    <row r="62" spans="1:6" s="365" customFormat="1" ht="25.5">
      <c r="A62" s="370"/>
      <c r="B62" s="171" t="s">
        <v>430</v>
      </c>
      <c r="C62" s="378" t="s">
        <v>11</v>
      </c>
      <c r="D62" s="386">
        <f>(28.33+22.67+82.29)*1.01</f>
        <v>134.62290000000002</v>
      </c>
      <c r="E62" s="126"/>
      <c r="F62" s="126"/>
    </row>
    <row r="63" spans="1:6" s="365" customFormat="1" ht="25.5">
      <c r="A63" s="370"/>
      <c r="B63" s="371" t="s">
        <v>205</v>
      </c>
      <c r="C63" s="378" t="s">
        <v>11</v>
      </c>
      <c r="D63" s="386">
        <f>(51.42+39.97+35.97+75.45+113.12)*1.01</f>
        <v>319.08930000000004</v>
      </c>
      <c r="E63" s="126"/>
      <c r="F63" s="126"/>
    </row>
    <row r="64" spans="1:6" s="365" customFormat="1" ht="25.5">
      <c r="A64" s="370"/>
      <c r="B64" s="381" t="s">
        <v>202</v>
      </c>
      <c r="C64" s="378" t="s">
        <v>11</v>
      </c>
      <c r="D64" s="386">
        <f>(61.67+29.34+49.95+65.68+136.99)*1.01</f>
        <v>347.0663</v>
      </c>
      <c r="E64" s="126"/>
      <c r="F64" s="126"/>
    </row>
    <row r="65" spans="1:6" s="365" customFormat="1" ht="25.5">
      <c r="A65" s="370"/>
      <c r="B65" s="381" t="s">
        <v>199</v>
      </c>
      <c r="C65" s="378" t="s">
        <v>11</v>
      </c>
      <c r="D65" s="386">
        <f>(80.2+169.71+159.75)*1</f>
        <v>409.66</v>
      </c>
      <c r="E65" s="126"/>
      <c r="F65" s="126"/>
    </row>
    <row r="66" spans="1:6" s="365" customFormat="1" ht="12.75">
      <c r="A66" s="370"/>
      <c r="B66" s="381"/>
      <c r="C66" s="378"/>
      <c r="D66" s="386"/>
      <c r="E66" s="126"/>
      <c r="F66" s="126"/>
    </row>
    <row r="67" spans="1:6" s="365" customFormat="1" ht="12.75">
      <c r="A67" s="370" t="s">
        <v>197</v>
      </c>
      <c r="B67" s="166" t="s">
        <v>195</v>
      </c>
      <c r="C67" s="378"/>
      <c r="D67" s="386"/>
      <c r="E67" s="126"/>
      <c r="F67" s="126"/>
    </row>
    <row r="68" spans="1:6" s="365" customFormat="1" ht="12.75" hidden="1">
      <c r="A68" s="370"/>
      <c r="B68" s="171" t="s">
        <v>160</v>
      </c>
      <c r="C68" s="378" t="s">
        <v>11</v>
      </c>
      <c r="D68" s="386">
        <v>0</v>
      </c>
      <c r="E68" s="126"/>
      <c r="F68" s="126"/>
    </row>
    <row r="69" spans="1:6" s="365" customFormat="1" ht="25.5">
      <c r="A69" s="370"/>
      <c r="B69" s="371" t="s">
        <v>77</v>
      </c>
      <c r="C69" s="378" t="s">
        <v>11</v>
      </c>
      <c r="D69" s="364">
        <f>(613.87+458.88-315.93-85.15-103.75)*1.01</f>
        <v>573.5992</v>
      </c>
      <c r="E69" s="126"/>
      <c r="F69" s="126"/>
    </row>
    <row r="70" spans="1:6" s="365" customFormat="1" ht="25.5">
      <c r="A70" s="370"/>
      <c r="B70" s="381" t="s">
        <v>203</v>
      </c>
      <c r="C70" s="378" t="s">
        <v>11</v>
      </c>
      <c r="D70" s="386">
        <f>(141.38-45.95-12.26-12.12+300.58-65.68-4.43-18.97-26.28-12.24-13.67-14.43-13.92-4.47+558.61-139.99-9.83-10.36-8.77-8.5-3.41-5.94)*1.01</f>
        <v>575.0434999999999</v>
      </c>
      <c r="E70" s="126"/>
      <c r="F70" s="126"/>
    </row>
    <row r="71" spans="1:6" s="365" customFormat="1" ht="25.5">
      <c r="A71" s="370"/>
      <c r="B71" s="381" t="s">
        <v>196</v>
      </c>
      <c r="C71" s="378" t="s">
        <v>11</v>
      </c>
      <c r="D71" s="386">
        <f>(625.58-169.71-7.58-10.72-9.62-3.25+608.05-159.75-8.52-8.51-3.38-16.47)*1.01</f>
        <v>844.4812000000001</v>
      </c>
      <c r="E71" s="126"/>
      <c r="F71" s="126"/>
    </row>
    <row r="72" spans="1:6" s="365" customFormat="1" ht="12.75">
      <c r="A72" s="370"/>
      <c r="B72" s="381"/>
      <c r="C72" s="378"/>
      <c r="D72" s="386"/>
      <c r="E72" s="126"/>
      <c r="F72" s="126"/>
    </row>
    <row r="73" spans="1:6" s="365" customFormat="1" ht="12.75">
      <c r="A73" s="370" t="s">
        <v>360</v>
      </c>
      <c r="B73" s="183" t="s">
        <v>338</v>
      </c>
      <c r="C73" s="378"/>
      <c r="D73" s="386"/>
      <c r="E73" s="126"/>
      <c r="F73" s="126"/>
    </row>
    <row r="74" spans="1:6" s="365" customFormat="1" ht="25.5">
      <c r="A74" s="370"/>
      <c r="B74" s="381" t="s">
        <v>363</v>
      </c>
      <c r="C74" s="378" t="s">
        <v>11</v>
      </c>
      <c r="D74" s="386">
        <f>20.83+81.13+17.93</f>
        <v>119.88999999999999</v>
      </c>
      <c r="E74" s="126"/>
      <c r="F74" s="126"/>
    </row>
    <row r="75" spans="1:6" s="365" customFormat="1" ht="25.5">
      <c r="A75" s="370"/>
      <c r="B75" s="381" t="s">
        <v>368</v>
      </c>
      <c r="C75" s="378" t="s">
        <v>11</v>
      </c>
      <c r="D75" s="386">
        <f>(694.85-286.39+103.97-127.07)*1.01</f>
        <v>389.2136000000001</v>
      </c>
      <c r="E75" s="126"/>
      <c r="F75" s="126"/>
    </row>
    <row r="76" spans="1:6" s="365" customFormat="1" ht="25.5">
      <c r="A76" s="370"/>
      <c r="B76" s="381" t="s">
        <v>369</v>
      </c>
      <c r="C76" s="378" t="s">
        <v>11</v>
      </c>
      <c r="D76" s="386">
        <f>(666+366.93)*1.01</f>
        <v>1043.2593000000002</v>
      </c>
      <c r="E76" s="126"/>
      <c r="F76" s="126"/>
    </row>
    <row r="77" spans="1:6" s="365" customFormat="1" ht="25.5">
      <c r="A77" s="370"/>
      <c r="B77" s="381" t="s">
        <v>370</v>
      </c>
      <c r="C77" s="378" t="s">
        <v>11</v>
      </c>
      <c r="D77" s="386">
        <f>(546.68+290.4)*1.01</f>
        <v>845.4508</v>
      </c>
      <c r="E77" s="126"/>
      <c r="F77" s="126"/>
    </row>
    <row r="78" spans="1:6" s="365" customFormat="1" ht="12.75">
      <c r="A78" s="370"/>
      <c r="B78" s="381"/>
      <c r="C78" s="378"/>
      <c r="D78" s="386"/>
      <c r="E78" s="126"/>
      <c r="F78" s="126"/>
    </row>
    <row r="79" spans="1:6" s="365" customFormat="1" ht="210.75" customHeight="1">
      <c r="A79" s="370">
        <f>A45+1</f>
        <v>1204</v>
      </c>
      <c r="B79" s="371" t="s">
        <v>531</v>
      </c>
      <c r="C79" s="378"/>
      <c r="D79" s="386"/>
      <c r="E79" s="126"/>
      <c r="F79" s="126"/>
    </row>
    <row r="80" spans="1:6" s="365" customFormat="1" ht="25.5">
      <c r="A80" s="370"/>
      <c r="B80" s="174" t="s">
        <v>83</v>
      </c>
      <c r="C80" s="378"/>
      <c r="D80" s="386"/>
      <c r="E80" s="126"/>
      <c r="F80" s="126"/>
    </row>
    <row r="81" spans="1:6" s="365" customFormat="1" ht="25.5">
      <c r="A81" s="370"/>
      <c r="B81" s="174" t="s">
        <v>69</v>
      </c>
      <c r="C81" s="378"/>
      <c r="D81" s="386"/>
      <c r="E81" s="126"/>
      <c r="F81" s="126"/>
    </row>
    <row r="82" spans="1:6" s="365" customFormat="1" ht="25.5">
      <c r="A82" s="370"/>
      <c r="B82" s="381" t="s">
        <v>530</v>
      </c>
      <c r="C82" s="378"/>
      <c r="D82" s="386"/>
      <c r="E82" s="126"/>
      <c r="F82" s="126"/>
    </row>
    <row r="83" spans="1:6" s="365" customFormat="1" ht="25.5">
      <c r="A83" s="370"/>
      <c r="B83" s="183" t="s">
        <v>534</v>
      </c>
      <c r="C83" s="378"/>
      <c r="D83" s="386"/>
      <c r="E83" s="126"/>
      <c r="F83" s="126"/>
    </row>
    <row r="84" spans="1:6" s="365" customFormat="1" ht="25.5">
      <c r="A84" s="370"/>
      <c r="B84" s="371" t="s">
        <v>532</v>
      </c>
      <c r="C84" s="378" t="s">
        <v>406</v>
      </c>
      <c r="D84" s="386">
        <f>42.93+42.07+42.07</f>
        <v>127.07</v>
      </c>
      <c r="E84" s="126"/>
      <c r="F84" s="126"/>
    </row>
    <row r="85" spans="1:6" s="365" customFormat="1" ht="12.75">
      <c r="A85" s="370"/>
      <c r="B85" s="381"/>
      <c r="C85" s="378"/>
      <c r="D85" s="386"/>
      <c r="E85" s="126"/>
      <c r="F85" s="126"/>
    </row>
    <row r="86" spans="1:6" s="365" customFormat="1" ht="76.5">
      <c r="A86" s="370">
        <f>A79+1</f>
        <v>1205</v>
      </c>
      <c r="B86" s="371" t="s">
        <v>439</v>
      </c>
      <c r="C86" s="378"/>
      <c r="D86" s="386"/>
      <c r="E86" s="126"/>
      <c r="F86" s="126"/>
    </row>
    <row r="87" spans="1:6" s="365" customFormat="1" ht="76.5">
      <c r="A87" s="370"/>
      <c r="B87" s="371" t="s">
        <v>441</v>
      </c>
      <c r="C87" s="378"/>
      <c r="D87" s="386"/>
      <c r="E87" s="126"/>
      <c r="F87" s="126"/>
    </row>
    <row r="88" spans="1:6" s="365" customFormat="1" ht="25.5">
      <c r="A88" s="370"/>
      <c r="B88" s="174" t="s">
        <v>83</v>
      </c>
      <c r="C88" s="378"/>
      <c r="D88" s="386"/>
      <c r="E88" s="126"/>
      <c r="F88" s="126"/>
    </row>
    <row r="89" spans="1:6" s="365" customFormat="1" ht="25.5">
      <c r="A89" s="370"/>
      <c r="B89" s="174" t="s">
        <v>69</v>
      </c>
      <c r="C89" s="378"/>
      <c r="D89" s="386"/>
      <c r="E89" s="126"/>
      <c r="F89" s="126"/>
    </row>
    <row r="90" spans="1:6" s="365" customFormat="1" ht="25.5">
      <c r="A90" s="370"/>
      <c r="B90" s="381" t="s">
        <v>440</v>
      </c>
      <c r="C90" s="378"/>
      <c r="D90" s="386"/>
      <c r="E90" s="126"/>
      <c r="F90" s="126"/>
    </row>
    <row r="91" spans="1:6" s="365" customFormat="1" ht="12.75">
      <c r="A91" s="370"/>
      <c r="B91" s="183" t="s">
        <v>361</v>
      </c>
      <c r="C91" s="378"/>
      <c r="D91" s="386"/>
      <c r="E91" s="126"/>
      <c r="F91" s="126"/>
    </row>
    <row r="92" spans="1:6" s="365" customFormat="1" ht="25.5">
      <c r="A92" s="370"/>
      <c r="B92" s="381" t="s">
        <v>362</v>
      </c>
      <c r="C92" s="378" t="s">
        <v>11</v>
      </c>
      <c r="D92" s="386">
        <f>209.97+44.38+2.05+10.74</f>
        <v>267.14</v>
      </c>
      <c r="E92" s="126"/>
      <c r="F92" s="126"/>
    </row>
    <row r="93" spans="1:6" s="365" customFormat="1" ht="12.75">
      <c r="A93" s="370"/>
      <c r="C93" s="378"/>
      <c r="D93" s="386"/>
      <c r="E93" s="126"/>
      <c r="F93" s="126"/>
    </row>
    <row r="94" spans="1:6" s="365" customFormat="1" ht="51">
      <c r="A94" s="370">
        <f>A86+1</f>
        <v>1206</v>
      </c>
      <c r="B94" s="173" t="s">
        <v>80</v>
      </c>
      <c r="C94" s="378"/>
      <c r="D94" s="386"/>
      <c r="E94" s="126"/>
      <c r="F94" s="126"/>
    </row>
    <row r="95" spans="1:6" s="365" customFormat="1" ht="38.25">
      <c r="A95" s="370"/>
      <c r="B95" s="173" t="s">
        <v>81</v>
      </c>
      <c r="C95" s="378"/>
      <c r="D95" s="386"/>
      <c r="E95" s="126"/>
      <c r="F95" s="126"/>
    </row>
    <row r="96" spans="1:6" s="365" customFormat="1" ht="25.5">
      <c r="A96" s="370"/>
      <c r="B96" s="174" t="s">
        <v>82</v>
      </c>
      <c r="C96" s="378"/>
      <c r="D96" s="386"/>
      <c r="E96" s="126"/>
      <c r="F96" s="126"/>
    </row>
    <row r="97" spans="1:6" s="365" customFormat="1" ht="25.5">
      <c r="A97" s="370"/>
      <c r="B97" s="174" t="s">
        <v>83</v>
      </c>
      <c r="C97" s="378"/>
      <c r="D97" s="386"/>
      <c r="E97" s="126"/>
      <c r="F97" s="126"/>
    </row>
    <row r="98" spans="1:6" s="365" customFormat="1" ht="12.75">
      <c r="A98" s="370"/>
      <c r="B98" s="174"/>
      <c r="C98" s="378"/>
      <c r="D98" s="386"/>
      <c r="E98" s="126"/>
      <c r="F98" s="126"/>
    </row>
    <row r="99" spans="1:6" s="392" customFormat="1" ht="12.75">
      <c r="A99" s="370" t="s">
        <v>19</v>
      </c>
      <c r="B99" s="166" t="s">
        <v>287</v>
      </c>
      <c r="C99" s="377"/>
      <c r="D99" s="378"/>
      <c r="E99" s="391"/>
      <c r="F99" s="391"/>
    </row>
    <row r="100" spans="1:6" s="392" customFormat="1" ht="38.25">
      <c r="A100" s="393"/>
      <c r="B100" s="371" t="s">
        <v>1271</v>
      </c>
      <c r="C100" s="378" t="s">
        <v>11</v>
      </c>
      <c r="D100" s="386">
        <f>26.45*1.01</f>
        <v>26.7145</v>
      </c>
      <c r="E100" s="126"/>
      <c r="F100" s="126"/>
    </row>
    <row r="101" spans="1:6" s="392" customFormat="1" ht="38.25">
      <c r="A101" s="393"/>
      <c r="B101" s="371" t="s">
        <v>1272</v>
      </c>
      <c r="C101" s="378" t="s">
        <v>11</v>
      </c>
      <c r="D101" s="386">
        <f>(10.95+11.25+10.95)*1.01</f>
        <v>33.4815</v>
      </c>
      <c r="E101" s="126"/>
      <c r="F101" s="126"/>
    </row>
    <row r="102" spans="1:6" s="392" customFormat="1" ht="38.25">
      <c r="A102" s="393"/>
      <c r="B102" s="381" t="s">
        <v>1273</v>
      </c>
      <c r="C102" s="378" t="s">
        <v>11</v>
      </c>
      <c r="D102" s="386">
        <f>(10.55+10.4)*1.01</f>
        <v>21.1595</v>
      </c>
      <c r="E102" s="126"/>
      <c r="F102" s="126"/>
    </row>
    <row r="103" spans="1:6" s="392" customFormat="1" ht="12.75">
      <c r="A103" s="393"/>
      <c r="B103" s="381"/>
      <c r="C103" s="378"/>
      <c r="D103" s="386"/>
      <c r="E103" s="126"/>
      <c r="F103" s="126"/>
    </row>
    <row r="104" spans="1:6" s="365" customFormat="1" ht="12.75">
      <c r="A104" s="370" t="s">
        <v>76</v>
      </c>
      <c r="B104" s="166" t="s">
        <v>157</v>
      </c>
      <c r="C104" s="378"/>
      <c r="D104" s="386"/>
      <c r="E104" s="126"/>
      <c r="F104" s="126"/>
    </row>
    <row r="105" spans="1:6" s="365" customFormat="1" ht="38.25">
      <c r="A105" s="370"/>
      <c r="B105" s="171" t="s">
        <v>1274</v>
      </c>
      <c r="C105" s="378" t="s">
        <v>11</v>
      </c>
      <c r="D105" s="386">
        <f>(9.45+12.72+16.11+9.05+6.7*2)*1.01</f>
        <v>61.3373</v>
      </c>
      <c r="E105" s="126"/>
      <c r="F105" s="126"/>
    </row>
    <row r="106" spans="1:6" s="365" customFormat="1" ht="63.75">
      <c r="A106" s="370"/>
      <c r="B106" s="371" t="s">
        <v>1275</v>
      </c>
      <c r="C106" s="378" t="s">
        <v>11</v>
      </c>
      <c r="D106" s="386">
        <f>(17.54+20.86+3.05+8.27+9.26+9.09+9.3+3.36+4.42)*1.01</f>
        <v>86.0015</v>
      </c>
      <c r="E106" s="126"/>
      <c r="F106" s="126"/>
    </row>
    <row r="107" spans="1:6" s="365" customFormat="1" ht="51">
      <c r="A107" s="370"/>
      <c r="B107" s="381" t="s">
        <v>1276</v>
      </c>
      <c r="C107" s="378" t="s">
        <v>11</v>
      </c>
      <c r="D107" s="386">
        <f>(12.26+12.12+14.43+13.92+4.77+10.36+8.77+8.5+3.41+5.94)*1.01</f>
        <v>95.42479999999999</v>
      </c>
      <c r="E107" s="126"/>
      <c r="F107" s="126"/>
    </row>
    <row r="108" spans="1:6" s="365" customFormat="1" ht="51">
      <c r="A108" s="370"/>
      <c r="B108" s="381" t="s">
        <v>1277</v>
      </c>
      <c r="C108" s="378" t="s">
        <v>11</v>
      </c>
      <c r="D108" s="386">
        <f>(7.07+12.19+7.58+10.72+9.62+3.25+8.52+8.51+3.38+16.47)*1.01</f>
        <v>88.18309999999998</v>
      </c>
      <c r="E108" s="126"/>
      <c r="F108" s="126"/>
    </row>
    <row r="109" spans="1:6" s="365" customFormat="1" ht="12.75">
      <c r="A109" s="370"/>
      <c r="B109" s="381"/>
      <c r="C109" s="378"/>
      <c r="D109" s="386"/>
      <c r="E109" s="126"/>
      <c r="F109" s="126"/>
    </row>
    <row r="110" spans="1:6" s="365" customFormat="1" ht="12.75">
      <c r="A110" s="370" t="s">
        <v>194</v>
      </c>
      <c r="B110" s="166" t="s">
        <v>338</v>
      </c>
      <c r="C110" s="378"/>
      <c r="D110" s="386"/>
      <c r="E110" s="126"/>
      <c r="F110" s="126"/>
    </row>
    <row r="111" spans="1:6" s="365" customFormat="1" ht="38.25">
      <c r="A111" s="370"/>
      <c r="B111" s="171" t="s">
        <v>1278</v>
      </c>
      <c r="C111" s="378" t="s">
        <v>11</v>
      </c>
      <c r="D111" s="386">
        <f>12.91+4.68+8.36+8.62</f>
        <v>34.57</v>
      </c>
      <c r="E111" s="126"/>
      <c r="F111" s="126"/>
    </row>
    <row r="112" spans="1:6" s="365" customFormat="1" ht="38.25">
      <c r="A112" s="370"/>
      <c r="B112" s="171" t="s">
        <v>1279</v>
      </c>
      <c r="C112" s="378" t="s">
        <v>11</v>
      </c>
      <c r="D112" s="386">
        <f>(4.18+13.31+13.28)*1.01</f>
        <v>31.077700000000004</v>
      </c>
      <c r="E112" s="126"/>
      <c r="F112" s="126"/>
    </row>
    <row r="113" spans="1:6" s="365" customFormat="1" ht="38.25">
      <c r="A113" s="370"/>
      <c r="B113" s="381" t="s">
        <v>1280</v>
      </c>
      <c r="C113" s="378" t="s">
        <v>11</v>
      </c>
      <c r="D113" s="386">
        <f>(4.07+13.35+13.46)*1.01</f>
        <v>31.188800000000004</v>
      </c>
      <c r="E113" s="126"/>
      <c r="F113" s="126"/>
    </row>
    <row r="114" spans="1:6" s="392" customFormat="1" ht="25.5">
      <c r="A114" s="393"/>
      <c r="B114" s="381" t="s">
        <v>1281</v>
      </c>
      <c r="C114" s="378" t="s">
        <v>11</v>
      </c>
      <c r="D114" s="386">
        <f>3.22*1.01</f>
        <v>3.2522</v>
      </c>
      <c r="E114" s="126"/>
      <c r="F114" s="126"/>
    </row>
    <row r="115" spans="1:6" s="365" customFormat="1" ht="25.5">
      <c r="A115" s="370"/>
      <c r="B115" s="381" t="s">
        <v>371</v>
      </c>
      <c r="C115" s="378" t="s">
        <v>11</v>
      </c>
      <c r="D115" s="386">
        <f>(34.71-3.83)*1.01</f>
        <v>31.188800000000004</v>
      </c>
      <c r="E115" s="126"/>
      <c r="F115" s="126"/>
    </row>
    <row r="116" spans="1:6" s="392" customFormat="1" ht="25.5">
      <c r="A116" s="393"/>
      <c r="B116" s="381" t="s">
        <v>1282</v>
      </c>
      <c r="C116" s="378" t="s">
        <v>11</v>
      </c>
      <c r="D116" s="386">
        <f>3.83*1.01</f>
        <v>3.8683</v>
      </c>
      <c r="E116" s="126"/>
      <c r="F116" s="126"/>
    </row>
    <row r="117" spans="1:6" s="392" customFormat="1" ht="12.75">
      <c r="A117" s="394"/>
      <c r="B117" s="395"/>
      <c r="C117" s="377"/>
      <c r="D117" s="378"/>
      <c r="E117" s="391"/>
      <c r="F117" s="391"/>
    </row>
    <row r="118" spans="1:4" s="365" customFormat="1" ht="127.5">
      <c r="A118" s="396">
        <f>A94+1</f>
        <v>1207</v>
      </c>
      <c r="B118" s="397" t="s">
        <v>111</v>
      </c>
      <c r="C118" s="378"/>
      <c r="D118" s="378"/>
    </row>
    <row r="119" spans="1:4" s="365" customFormat="1" ht="25.5">
      <c r="A119" s="396"/>
      <c r="B119" s="271" t="s">
        <v>84</v>
      </c>
      <c r="C119" s="378"/>
      <c r="D119" s="378"/>
    </row>
    <row r="120" spans="1:4" s="365" customFormat="1" ht="12.75">
      <c r="A120" s="396" t="s">
        <v>19</v>
      </c>
      <c r="B120" s="211" t="s">
        <v>290</v>
      </c>
      <c r="C120" s="378"/>
      <c r="D120" s="378"/>
    </row>
    <row r="121" spans="1:6" s="392" customFormat="1" ht="25.5">
      <c r="A121" s="393"/>
      <c r="B121" s="395" t="s">
        <v>114</v>
      </c>
      <c r="C121" s="378" t="s">
        <v>13</v>
      </c>
      <c r="D121" s="386">
        <f>47.6*1.01</f>
        <v>48.076</v>
      </c>
      <c r="E121" s="126"/>
      <c r="F121" s="126"/>
    </row>
    <row r="122" spans="1:6" s="364" customFormat="1" ht="12.75">
      <c r="A122" s="396"/>
      <c r="B122" s="398" t="s">
        <v>1283</v>
      </c>
      <c r="C122" s="378"/>
      <c r="D122" s="378"/>
      <c r="E122" s="126"/>
      <c r="F122" s="126"/>
    </row>
    <row r="123" spans="1:6" s="364" customFormat="1" ht="12.75">
      <c r="A123" s="396" t="s">
        <v>112</v>
      </c>
      <c r="B123" s="166" t="s">
        <v>291</v>
      </c>
      <c r="C123" s="378"/>
      <c r="D123" s="378"/>
      <c r="E123" s="126"/>
      <c r="F123" s="126"/>
    </row>
    <row r="124" spans="1:6" s="364" customFormat="1" ht="12.75">
      <c r="A124" s="370"/>
      <c r="B124" s="129" t="s">
        <v>113</v>
      </c>
      <c r="C124" s="378" t="s">
        <v>13</v>
      </c>
      <c r="D124" s="399">
        <f>(9.9*2+9.85*2)*1.01</f>
        <v>39.895</v>
      </c>
      <c r="E124" s="126"/>
      <c r="F124" s="126"/>
    </row>
    <row r="125" spans="1:6" s="364" customFormat="1" ht="12.75">
      <c r="A125" s="396"/>
      <c r="B125" s="400" t="s">
        <v>1284</v>
      </c>
      <c r="C125" s="378"/>
      <c r="D125" s="378"/>
      <c r="E125" s="126"/>
      <c r="F125" s="126"/>
    </row>
    <row r="126" spans="1:6" s="364" customFormat="1" ht="12.75">
      <c r="A126" s="396"/>
      <c r="B126" s="401"/>
      <c r="C126" s="378"/>
      <c r="D126" s="378"/>
      <c r="E126" s="126"/>
      <c r="F126" s="126"/>
    </row>
    <row r="127" spans="1:6" s="364" customFormat="1" ht="90" customHeight="1">
      <c r="A127" s="396">
        <f>A118+1</f>
        <v>1208</v>
      </c>
      <c r="B127" s="271" t="s">
        <v>434</v>
      </c>
      <c r="C127" s="378"/>
      <c r="D127" s="378"/>
      <c r="E127" s="126"/>
      <c r="F127" s="126"/>
    </row>
    <row r="128" spans="1:6" s="364" customFormat="1" ht="25.5">
      <c r="A128" s="396"/>
      <c r="B128" s="403" t="s">
        <v>435</v>
      </c>
      <c r="C128" s="378"/>
      <c r="D128" s="378"/>
      <c r="E128" s="126"/>
      <c r="F128" s="126"/>
    </row>
    <row r="129" spans="1:6" s="364" customFormat="1" ht="38.25">
      <c r="A129" s="396"/>
      <c r="B129" s="271" t="s">
        <v>431</v>
      </c>
      <c r="C129" s="378"/>
      <c r="D129" s="378"/>
      <c r="E129" s="126"/>
      <c r="F129" s="126"/>
    </row>
    <row r="130" spans="1:6" s="364" customFormat="1" ht="38.25">
      <c r="A130" s="396"/>
      <c r="B130" s="271" t="s">
        <v>425</v>
      </c>
      <c r="C130" s="378"/>
      <c r="D130" s="378"/>
      <c r="E130" s="126"/>
      <c r="F130" s="126"/>
    </row>
    <row r="131" spans="1:6" s="364" customFormat="1" ht="51">
      <c r="A131" s="396"/>
      <c r="B131" s="271" t="s">
        <v>432</v>
      </c>
      <c r="C131" s="378"/>
      <c r="D131" s="378"/>
      <c r="E131" s="126"/>
      <c r="F131" s="126"/>
    </row>
    <row r="132" spans="1:6" s="364" customFormat="1" ht="38.25">
      <c r="A132" s="396"/>
      <c r="B132" s="404" t="s">
        <v>364</v>
      </c>
      <c r="C132" s="378"/>
      <c r="D132" s="386"/>
      <c r="E132" s="126"/>
      <c r="F132" s="126"/>
    </row>
    <row r="133" spans="1:6" s="364" customFormat="1" ht="12.75">
      <c r="A133" s="396"/>
      <c r="B133" s="405" t="s">
        <v>1262</v>
      </c>
      <c r="C133" s="378" t="s">
        <v>11</v>
      </c>
      <c r="D133" s="386">
        <f>16.8*1.01</f>
        <v>16.968</v>
      </c>
      <c r="E133" s="126"/>
      <c r="F133" s="126"/>
    </row>
    <row r="134" spans="1:6" s="364" customFormat="1" ht="12.75">
      <c r="A134" s="396"/>
      <c r="B134" s="401"/>
      <c r="C134" s="378"/>
      <c r="D134" s="378"/>
      <c r="E134" s="126"/>
      <c r="F134" s="126"/>
    </row>
    <row r="135" spans="1:6" s="364" customFormat="1" ht="63.75">
      <c r="A135" s="396">
        <f>A127+1</f>
        <v>1209</v>
      </c>
      <c r="B135" s="271" t="s">
        <v>516</v>
      </c>
      <c r="C135" s="378"/>
      <c r="D135" s="378"/>
      <c r="E135" s="126"/>
      <c r="F135" s="126"/>
    </row>
    <row r="136" spans="1:6" s="364" customFormat="1" ht="237.75" customHeight="1">
      <c r="A136" s="396" t="s">
        <v>39</v>
      </c>
      <c r="B136" s="271" t="s">
        <v>518</v>
      </c>
      <c r="C136" s="378"/>
      <c r="D136" s="378"/>
      <c r="E136" s="126"/>
      <c r="F136" s="126"/>
    </row>
    <row r="137" spans="1:6" s="364" customFormat="1" ht="25.5">
      <c r="A137" s="396"/>
      <c r="B137" s="400" t="s">
        <v>517</v>
      </c>
      <c r="C137" s="378"/>
      <c r="D137" s="378"/>
      <c r="E137" s="126"/>
      <c r="F137" s="126"/>
    </row>
    <row r="138" spans="1:6" s="364" customFormat="1" ht="76.5">
      <c r="A138" s="396" t="s">
        <v>40</v>
      </c>
      <c r="B138" s="406" t="s">
        <v>520</v>
      </c>
      <c r="C138" s="378"/>
      <c r="D138" s="378"/>
      <c r="E138" s="126"/>
      <c r="F138" s="126"/>
    </row>
    <row r="139" spans="1:6" s="364" customFormat="1" ht="12.75">
      <c r="A139" s="396"/>
      <c r="B139" s="400"/>
      <c r="C139" s="378"/>
      <c r="D139" s="378"/>
      <c r="E139" s="126"/>
      <c r="F139" s="126"/>
    </row>
    <row r="140" spans="1:6" s="364" customFormat="1" ht="12.75">
      <c r="A140" s="396"/>
      <c r="B140" s="271" t="s">
        <v>519</v>
      </c>
      <c r="C140" s="378"/>
      <c r="D140" s="378"/>
      <c r="E140" s="126"/>
      <c r="F140" s="126"/>
    </row>
    <row r="141" spans="1:6" s="410" customFormat="1" ht="25.5">
      <c r="A141" s="407"/>
      <c r="B141" s="271" t="s">
        <v>83</v>
      </c>
      <c r="C141" s="408"/>
      <c r="D141" s="409"/>
      <c r="E141" s="241"/>
      <c r="F141" s="241"/>
    </row>
    <row r="142" spans="1:6" s="364" customFormat="1" ht="25.5">
      <c r="A142" s="396"/>
      <c r="B142" s="404" t="s">
        <v>365</v>
      </c>
      <c r="C142" s="378"/>
      <c r="D142" s="378"/>
      <c r="E142" s="126"/>
      <c r="F142" s="126"/>
    </row>
    <row r="143" spans="1:6" s="364" customFormat="1" ht="12.75">
      <c r="A143" s="396"/>
      <c r="B143" s="411" t="s">
        <v>521</v>
      </c>
      <c r="C143" s="378"/>
      <c r="D143" s="378"/>
      <c r="E143" s="126"/>
      <c r="F143" s="126"/>
    </row>
    <row r="144" spans="1:6" s="364" customFormat="1" ht="12.75">
      <c r="A144" s="396" t="s">
        <v>39</v>
      </c>
      <c r="B144" s="404" t="s">
        <v>1263</v>
      </c>
      <c r="C144" s="378" t="s">
        <v>11</v>
      </c>
      <c r="D144" s="386">
        <f>116.64*2*1.01</f>
        <v>235.6128</v>
      </c>
      <c r="E144" s="126"/>
      <c r="F144" s="126"/>
    </row>
    <row r="145" spans="1:6" s="364" customFormat="1" ht="25.5">
      <c r="A145" s="396" t="s">
        <v>40</v>
      </c>
      <c r="B145" s="402" t="s">
        <v>1264</v>
      </c>
      <c r="C145" s="378" t="s">
        <v>11</v>
      </c>
      <c r="D145" s="386">
        <f>(286.39-116.64*2)*1.01</f>
        <v>53.64109999999999</v>
      </c>
      <c r="E145" s="126"/>
      <c r="F145" s="126"/>
    </row>
    <row r="146" spans="1:6" s="364" customFormat="1" ht="12.75">
      <c r="A146" s="396"/>
      <c r="B146" s="401"/>
      <c r="C146" s="378"/>
      <c r="D146" s="378"/>
      <c r="E146" s="126"/>
      <c r="F146" s="126"/>
    </row>
    <row r="147" spans="1:6" s="364" customFormat="1" ht="138" customHeight="1">
      <c r="A147" s="396">
        <f>A135+1</f>
        <v>1210</v>
      </c>
      <c r="B147" s="406" t="s">
        <v>523</v>
      </c>
      <c r="C147" s="378"/>
      <c r="D147" s="378"/>
      <c r="E147" s="126"/>
      <c r="F147" s="126"/>
    </row>
    <row r="148" spans="1:6" s="364" customFormat="1" ht="89.25">
      <c r="A148" s="396"/>
      <c r="B148" s="400" t="s">
        <v>426</v>
      </c>
      <c r="C148" s="378"/>
      <c r="D148" s="378"/>
      <c r="E148" s="126"/>
      <c r="F148" s="126"/>
    </row>
    <row r="149" spans="1:6" s="364" customFormat="1" ht="25.5">
      <c r="A149" s="396"/>
      <c r="B149" s="174" t="s">
        <v>83</v>
      </c>
      <c r="C149" s="378"/>
      <c r="D149" s="378"/>
      <c r="E149" s="126"/>
      <c r="F149" s="126"/>
    </row>
    <row r="150" spans="1:6" s="364" customFormat="1" ht="25.5">
      <c r="A150" s="396"/>
      <c r="B150" s="400" t="s">
        <v>365</v>
      </c>
      <c r="C150" s="378"/>
      <c r="D150" s="378"/>
      <c r="E150" s="126"/>
      <c r="F150" s="126"/>
    </row>
    <row r="151" spans="1:6" s="364" customFormat="1" ht="25.5">
      <c r="A151" s="396"/>
      <c r="B151" s="400" t="s">
        <v>522</v>
      </c>
      <c r="C151" s="378"/>
      <c r="D151" s="378"/>
      <c r="E151" s="126"/>
      <c r="F151" s="126"/>
    </row>
    <row r="152" spans="1:6" s="364" customFormat="1" ht="25.5">
      <c r="A152" s="370"/>
      <c r="B152" s="67" t="s">
        <v>1265</v>
      </c>
      <c r="C152" s="412" t="s">
        <v>11</v>
      </c>
      <c r="D152" s="319">
        <f>(5.6*36.7+0.2*5.6*7+5.6*5*2)*1.01</f>
        <v>272.0536</v>
      </c>
      <c r="E152" s="126"/>
      <c r="F152" s="126"/>
    </row>
    <row r="153" spans="1:6" s="364" customFormat="1" ht="25.5">
      <c r="A153" s="370"/>
      <c r="B153" s="67" t="s">
        <v>1266</v>
      </c>
      <c r="C153" s="412" t="s">
        <v>11</v>
      </c>
      <c r="D153" s="319">
        <f>(0.72*2+2.2)*2*5.6*1.01</f>
        <v>41.17568</v>
      </c>
      <c r="E153" s="126"/>
      <c r="F153" s="126"/>
    </row>
    <row r="154" spans="1:6" s="364" customFormat="1" ht="12.75">
      <c r="A154" s="370"/>
      <c r="B154" s="67" t="s">
        <v>1267</v>
      </c>
      <c r="C154" s="412" t="s">
        <v>11</v>
      </c>
      <c r="D154" s="319">
        <f>70.1*1.01</f>
        <v>70.801</v>
      </c>
      <c r="E154" s="126"/>
      <c r="F154" s="126"/>
    </row>
    <row r="155" spans="1:6" s="364" customFormat="1" ht="25.5">
      <c r="A155" s="370"/>
      <c r="B155" s="413" t="s">
        <v>1268</v>
      </c>
      <c r="C155" s="412" t="s">
        <v>11</v>
      </c>
      <c r="D155" s="319">
        <f>2.06*36.75*1.01</f>
        <v>76.46205</v>
      </c>
      <c r="E155" s="126"/>
      <c r="F155" s="126"/>
    </row>
    <row r="156" spans="1:6" s="364" customFormat="1" ht="12.75">
      <c r="A156" s="370"/>
      <c r="B156" s="67" t="s">
        <v>1269</v>
      </c>
      <c r="C156" s="412" t="s">
        <v>11</v>
      </c>
      <c r="D156" s="319">
        <f>(32.3+0.26*23.9)*1.01</f>
        <v>38.899139999999996</v>
      </c>
      <c r="E156" s="126"/>
      <c r="F156" s="126"/>
    </row>
    <row r="157" spans="1:6" s="364" customFormat="1" ht="12.75">
      <c r="A157" s="370"/>
      <c r="B157" s="413"/>
      <c r="C157" s="412"/>
      <c r="D157" s="319"/>
      <c r="E157" s="126"/>
      <c r="F157" s="126"/>
    </row>
    <row r="158" spans="1:6" s="364" customFormat="1" ht="25.5">
      <c r="A158" s="396">
        <f>A147+1</f>
        <v>1211</v>
      </c>
      <c r="B158" s="414" t="s">
        <v>300</v>
      </c>
      <c r="C158" s="412"/>
      <c r="D158" s="319"/>
      <c r="E158" s="126"/>
      <c r="F158" s="126"/>
    </row>
    <row r="159" spans="1:6" s="364" customFormat="1" ht="25.5">
      <c r="A159" s="396"/>
      <c r="B159" s="38" t="s">
        <v>293</v>
      </c>
      <c r="C159" s="412"/>
      <c r="D159" s="319"/>
      <c r="E159" s="126"/>
      <c r="F159" s="126"/>
    </row>
    <row r="160" spans="1:6" s="364" customFormat="1" ht="12.75">
      <c r="A160" s="396"/>
      <c r="B160" s="413" t="s">
        <v>1270</v>
      </c>
      <c r="C160" s="378" t="s">
        <v>13</v>
      </c>
      <c r="D160" s="319">
        <f>4*3</f>
        <v>12</v>
      </c>
      <c r="E160" s="126"/>
      <c r="F160" s="126"/>
    </row>
    <row r="161" spans="1:6" s="364" customFormat="1" ht="12.75">
      <c r="A161" s="396"/>
      <c r="B161" s="414"/>
      <c r="C161" s="412"/>
      <c r="D161" s="319"/>
      <c r="E161" s="126"/>
      <c r="F161" s="126"/>
    </row>
    <row r="162" spans="1:6" s="364" customFormat="1" ht="12.75">
      <c r="A162" s="415"/>
      <c r="B162" s="395"/>
      <c r="C162" s="377"/>
      <c r="D162" s="378"/>
      <c r="E162" s="391"/>
      <c r="F162" s="391"/>
    </row>
    <row r="163" spans="1:6" s="364" customFormat="1" ht="12.75">
      <c r="A163" s="416">
        <f>A4</f>
        <v>1200</v>
      </c>
      <c r="B163" s="417" t="str">
        <f>B4</f>
        <v>SPUŠTENI PLAFONI</v>
      </c>
      <c r="C163" s="418" t="s">
        <v>1485</v>
      </c>
      <c r="D163" s="363"/>
      <c r="E163" s="419"/>
      <c r="F163" s="420"/>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2" manualBreakCount="2">
    <brk id="131" max="5" man="1"/>
    <brk id="145" max="5" man="1"/>
  </rowBreaks>
</worksheet>
</file>

<file path=xl/worksheets/sheet15.xml><?xml version="1.0" encoding="utf-8"?>
<worksheet xmlns="http://schemas.openxmlformats.org/spreadsheetml/2006/main" xmlns:r="http://schemas.openxmlformats.org/officeDocument/2006/relationships">
  <dimension ref="A1:F35"/>
  <sheetViews>
    <sheetView view="pageLayout" zoomScaleSheetLayoutView="110" workbookViewId="0" topLeftCell="A22">
      <selection activeCell="B30" sqref="B30"/>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s="98" customFormat="1" ht="12.75">
      <c r="A4" s="152">
        <f>'spusteni plafoni'!A4+100</f>
        <v>1300</v>
      </c>
      <c r="B4" s="176" t="s">
        <v>310</v>
      </c>
      <c r="C4" s="112"/>
      <c r="D4" s="113"/>
      <c r="E4" s="113"/>
      <c r="F4" s="113"/>
    </row>
    <row r="5" spans="1:6" s="98" customFormat="1" ht="12.75">
      <c r="A5" s="114"/>
      <c r="B5" s="115"/>
      <c r="C5" s="100"/>
      <c r="D5" s="99"/>
      <c r="E5" s="99"/>
      <c r="F5" s="99"/>
    </row>
    <row r="6" spans="1:3" s="98" customFormat="1" ht="12.75">
      <c r="A6" s="234">
        <f>A4+1</f>
        <v>1301</v>
      </c>
      <c r="B6" s="98" t="s">
        <v>313</v>
      </c>
      <c r="C6" s="138"/>
    </row>
    <row r="7" spans="1:3" s="98" customFormat="1" ht="25.5">
      <c r="A7" s="234"/>
      <c r="B7" s="162" t="s">
        <v>311</v>
      </c>
      <c r="C7" s="138"/>
    </row>
    <row r="8" spans="1:4" s="98" customFormat="1" ht="140.25">
      <c r="A8" s="118"/>
      <c r="B8" s="162" t="s">
        <v>317</v>
      </c>
      <c r="C8" s="120"/>
      <c r="D8" s="97"/>
    </row>
    <row r="9" spans="1:4" s="98" customFormat="1" ht="12.75">
      <c r="A9" s="118"/>
      <c r="B9" s="98" t="s">
        <v>307</v>
      </c>
      <c r="C9" s="120"/>
      <c r="D9" s="97"/>
    </row>
    <row r="10" spans="1:6" s="98" customFormat="1" ht="12.75">
      <c r="A10" s="118"/>
      <c r="B10" s="20" t="s">
        <v>329</v>
      </c>
      <c r="C10" s="120" t="s">
        <v>13</v>
      </c>
      <c r="D10" s="170">
        <v>9.7</v>
      </c>
      <c r="E10" s="126"/>
      <c r="F10" s="127"/>
    </row>
    <row r="11" spans="1:6" s="98" customFormat="1" ht="12.75">
      <c r="A11" s="118"/>
      <c r="C11" s="120"/>
      <c r="D11" s="170"/>
      <c r="E11" s="126"/>
      <c r="F11" s="127"/>
    </row>
    <row r="12" spans="1:3" s="98" customFormat="1" ht="38.25">
      <c r="A12" s="114">
        <f>A6+1</f>
        <v>1302</v>
      </c>
      <c r="B12" s="162" t="s">
        <v>314</v>
      </c>
      <c r="C12" s="138"/>
    </row>
    <row r="13" spans="1:6" s="98" customFormat="1" ht="102">
      <c r="A13" s="118"/>
      <c r="B13" s="162" t="s">
        <v>315</v>
      </c>
      <c r="C13" s="120"/>
      <c r="D13" s="170"/>
      <c r="E13" s="126"/>
      <c r="F13" s="127"/>
    </row>
    <row r="14" spans="1:6" s="98" customFormat="1" ht="76.5">
      <c r="A14" s="118"/>
      <c r="B14" s="162" t="s">
        <v>263</v>
      </c>
      <c r="C14" s="120"/>
      <c r="D14" s="170"/>
      <c r="E14" s="126"/>
      <c r="F14" s="127"/>
    </row>
    <row r="15" spans="1:6" s="98" customFormat="1" ht="25.5">
      <c r="A15" s="118"/>
      <c r="B15" s="162" t="s">
        <v>316</v>
      </c>
      <c r="C15" s="120"/>
      <c r="D15" s="170"/>
      <c r="E15" s="126"/>
      <c r="F15" s="127"/>
    </row>
    <row r="16" spans="1:6" s="98" customFormat="1" ht="12.75">
      <c r="A16" s="118"/>
      <c r="B16" s="162" t="s">
        <v>312</v>
      </c>
      <c r="C16" s="120"/>
      <c r="D16" s="170"/>
      <c r="E16" s="126"/>
      <c r="F16" s="127"/>
    </row>
    <row r="17" spans="1:6" s="98" customFormat="1" ht="12.75">
      <c r="A17" s="118"/>
      <c r="B17" s="20" t="s">
        <v>358</v>
      </c>
      <c r="C17" s="120" t="s">
        <v>11</v>
      </c>
      <c r="D17" s="170">
        <v>19.9</v>
      </c>
      <c r="E17" s="126"/>
      <c r="F17" s="127"/>
    </row>
    <row r="18" spans="1:6" s="98" customFormat="1" ht="12.75">
      <c r="A18" s="118"/>
      <c r="C18" s="120"/>
      <c r="D18" s="170"/>
      <c r="E18" s="126"/>
      <c r="F18" s="127"/>
    </row>
    <row r="19" spans="1:3" s="98" customFormat="1" ht="63.75">
      <c r="A19" s="114">
        <f>A12+1</f>
        <v>1303</v>
      </c>
      <c r="B19" s="162" t="s">
        <v>781</v>
      </c>
      <c r="C19" s="138"/>
    </row>
    <row r="20" spans="1:6" s="98" customFormat="1" ht="12.75">
      <c r="A20" s="114"/>
      <c r="B20" s="20" t="s">
        <v>1287</v>
      </c>
      <c r="C20" s="120" t="s">
        <v>13</v>
      </c>
      <c r="D20" s="97">
        <f>(9.7+4.5)*2*1.01</f>
        <v>28.683999999999997</v>
      </c>
      <c r="E20" s="126"/>
      <c r="F20" s="127"/>
    </row>
    <row r="21" spans="1:6" s="98" customFormat="1" ht="12.75">
      <c r="A21" s="114"/>
      <c r="C21" s="120"/>
      <c r="D21" s="97"/>
      <c r="E21" s="126"/>
      <c r="F21" s="127"/>
    </row>
    <row r="22" spans="1:6" s="98" customFormat="1" ht="38.25">
      <c r="A22" s="114">
        <f>A19+1</f>
        <v>1304</v>
      </c>
      <c r="B22" s="162" t="s">
        <v>787</v>
      </c>
      <c r="C22" s="120"/>
      <c r="D22" s="97"/>
      <c r="E22" s="126"/>
      <c r="F22" s="127"/>
    </row>
    <row r="23" spans="1:6" s="98" customFormat="1" ht="25.5">
      <c r="A23" s="114"/>
      <c r="B23" s="162" t="s">
        <v>1286</v>
      </c>
      <c r="C23" s="120" t="s">
        <v>13</v>
      </c>
      <c r="D23" s="97">
        <v>270.81</v>
      </c>
      <c r="E23" s="126"/>
      <c r="F23" s="127"/>
    </row>
    <row r="24" spans="1:6" s="98" customFormat="1" ht="12.75">
      <c r="A24" s="114"/>
      <c r="C24" s="120"/>
      <c r="D24" s="97"/>
      <c r="E24" s="126"/>
      <c r="F24" s="127"/>
    </row>
    <row r="25" spans="1:2" s="98" customFormat="1" ht="63.75">
      <c r="A25" s="114">
        <f>A22+1</f>
        <v>1305</v>
      </c>
      <c r="B25" s="162" t="s">
        <v>454</v>
      </c>
    </row>
    <row r="26" spans="1:6" s="98" customFormat="1" ht="38.25">
      <c r="A26" s="118"/>
      <c r="B26" s="317" t="s">
        <v>1285</v>
      </c>
      <c r="C26" s="120" t="s">
        <v>13</v>
      </c>
      <c r="D26" s="97">
        <f>(2*18+1*1*87+4*4+2+1*213+1.6*6+0.5*13+1.66*24+0.64*4+0.84*2+0.66*12+3+0.32*20+5.4*2+5.6*6)*1.01</f>
        <v>480.659</v>
      </c>
      <c r="E26" s="126"/>
      <c r="F26" s="127"/>
    </row>
    <row r="27" spans="1:6" s="97" customFormat="1" ht="12.75">
      <c r="A27" s="118"/>
      <c r="B27" s="210"/>
      <c r="C27" s="27"/>
      <c r="D27" s="69"/>
      <c r="E27" s="126"/>
      <c r="F27" s="127"/>
    </row>
    <row r="28" spans="1:6" s="97" customFormat="1" ht="38.25">
      <c r="A28" s="232">
        <f>A25+1</f>
        <v>1306</v>
      </c>
      <c r="B28" s="164" t="s">
        <v>424</v>
      </c>
      <c r="C28" s="120" t="s">
        <v>11</v>
      </c>
      <c r="D28" s="167">
        <v>10500</v>
      </c>
      <c r="E28" s="126"/>
      <c r="F28" s="127"/>
    </row>
    <row r="29" spans="1:6" s="97" customFormat="1" ht="12.75">
      <c r="A29" s="232"/>
      <c r="B29" s="164"/>
      <c r="C29" s="120"/>
      <c r="D29" s="167"/>
      <c r="E29" s="126"/>
      <c r="F29" s="127"/>
    </row>
    <row r="30" spans="1:6" s="97" customFormat="1" ht="12.75">
      <c r="A30" s="423"/>
      <c r="B30" s="164"/>
      <c r="C30" s="120" t="s">
        <v>540</v>
      </c>
      <c r="D30" s="167">
        <v>1</v>
      </c>
      <c r="E30" s="126"/>
      <c r="F30" s="127"/>
    </row>
    <row r="31" spans="1:6" s="97" customFormat="1" ht="12.75">
      <c r="A31" s="232"/>
      <c r="B31" s="7"/>
      <c r="C31" s="27"/>
      <c r="D31" s="69"/>
      <c r="E31" s="126"/>
      <c r="F31" s="127"/>
    </row>
    <row r="32" spans="1:6" s="97" customFormat="1" ht="12.75">
      <c r="A32" s="232"/>
      <c r="B32" s="210"/>
      <c r="C32" s="120"/>
      <c r="D32" s="69"/>
      <c r="E32" s="126"/>
      <c r="F32" s="127"/>
    </row>
    <row r="33" spans="1:6" s="97" customFormat="1" ht="12.75">
      <c r="A33" s="232"/>
      <c r="B33" s="29"/>
      <c r="C33" s="27"/>
      <c r="D33" s="69"/>
      <c r="E33" s="126"/>
      <c r="F33" s="127"/>
    </row>
    <row r="34" spans="1:6" s="97" customFormat="1" ht="12.75">
      <c r="A34" s="125"/>
      <c r="B34" s="124"/>
      <c r="C34" s="119"/>
      <c r="D34" s="120"/>
      <c r="E34" s="121"/>
      <c r="F34" s="121"/>
    </row>
    <row r="35" spans="1:6" ht="12.75">
      <c r="A35" s="131">
        <f>A4</f>
        <v>1300</v>
      </c>
      <c r="B35" s="132" t="str">
        <f>B4</f>
        <v>RAZNI RADOVI</v>
      </c>
      <c r="C35" s="133" t="s">
        <v>1485</v>
      </c>
      <c r="D35" s="113"/>
      <c r="E35" s="134"/>
      <c r="F35" s="135"/>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1" manualBreakCount="1">
    <brk id="23" max="5" man="1"/>
  </rowBreaks>
</worksheet>
</file>

<file path=xl/worksheets/sheet16.xml><?xml version="1.0" encoding="utf-8"?>
<worksheet xmlns="http://schemas.openxmlformats.org/spreadsheetml/2006/main" xmlns:r="http://schemas.openxmlformats.org/officeDocument/2006/relationships">
  <dimension ref="A1:J41"/>
  <sheetViews>
    <sheetView tabSelected="1" view="pageLayout" zoomScaleSheetLayoutView="100" workbookViewId="0" topLeftCell="A1">
      <selection activeCell="D28" sqref="D28"/>
    </sheetView>
  </sheetViews>
  <sheetFormatPr defaultColWidth="8.88671875" defaultRowHeight="15"/>
  <cols>
    <col min="1" max="1" width="5.77734375" style="2" customWidth="1"/>
    <col min="2" max="2" width="40.77734375" style="2" customWidth="1"/>
    <col min="3" max="3" width="6.77734375" style="2" customWidth="1"/>
    <col min="4" max="4" width="10.77734375" style="2" customWidth="1"/>
    <col min="5" max="5" width="12.77734375" style="2" customWidth="1"/>
    <col min="6" max="6" width="8.88671875" style="2" hidden="1" customWidth="1"/>
    <col min="7" max="7" width="0" style="2" hidden="1" customWidth="1"/>
    <col min="8" max="8" width="4.3359375" style="2" hidden="1" customWidth="1"/>
    <col min="9" max="16384" width="8.88671875" style="2" customWidth="1"/>
  </cols>
  <sheetData>
    <row r="1" spans="1:5" ht="12.75">
      <c r="A1" s="430" t="s">
        <v>6</v>
      </c>
      <c r="B1" s="432" t="s">
        <v>7</v>
      </c>
      <c r="C1" s="34"/>
      <c r="D1" s="35"/>
      <c r="E1" s="433" t="s">
        <v>1483</v>
      </c>
    </row>
    <row r="2" spans="1:5" ht="12.75">
      <c r="A2" s="431"/>
      <c r="B2" s="432"/>
      <c r="C2" s="36"/>
      <c r="D2" s="37"/>
      <c r="E2" s="433"/>
    </row>
    <row r="4" ht="15.75">
      <c r="B4" s="17" t="s">
        <v>10</v>
      </c>
    </row>
    <row r="5" ht="15.75">
      <c r="B5" s="17"/>
    </row>
    <row r="6" spans="1:2" ht="12.75">
      <c r="A6" s="10"/>
      <c r="B6" s="11"/>
    </row>
    <row r="7" spans="1:5" ht="12.75">
      <c r="A7" s="73">
        <f>zidarski!A5</f>
        <v>100</v>
      </c>
      <c r="B7" s="42" t="str">
        <f>zidarski!B5</f>
        <v>ZIDARSKI RADOVI</v>
      </c>
      <c r="C7" s="12"/>
      <c r="D7" s="12"/>
      <c r="E7" s="12"/>
    </row>
    <row r="8" spans="1:5" ht="12.75">
      <c r="A8" s="10"/>
      <c r="B8" s="42"/>
      <c r="C8" s="12"/>
      <c r="D8" s="12"/>
      <c r="E8" s="20"/>
    </row>
    <row r="9" spans="1:5" ht="12.75">
      <c r="A9" s="73">
        <f>'montažne pregrade'!A4</f>
        <v>200</v>
      </c>
      <c r="B9" s="42" t="str">
        <f>'montažne pregrade'!B204</f>
        <v>MONTAŽNE PREGRADE</v>
      </c>
      <c r="C9" s="12"/>
      <c r="D9" s="12"/>
      <c r="E9" s="12"/>
    </row>
    <row r="10" spans="1:5" ht="12.75">
      <c r="A10" s="10"/>
      <c r="B10" s="42"/>
      <c r="C10" s="12"/>
      <c r="D10" s="12"/>
      <c r="E10" s="20"/>
    </row>
    <row r="11" spans="1:5" ht="12.75">
      <c r="A11" s="73">
        <f>pokrivacki!A4</f>
        <v>300</v>
      </c>
      <c r="B11" s="43" t="str">
        <f>pokrivacki!B203</f>
        <v>POKRIVAČKI RADOVI</v>
      </c>
      <c r="C11" s="12"/>
      <c r="D11" s="12"/>
      <c r="E11" s="12"/>
    </row>
    <row r="12" spans="1:5" ht="12.75">
      <c r="A12" s="10"/>
      <c r="B12" s="42"/>
      <c r="C12" s="12"/>
      <c r="D12" s="12"/>
      <c r="E12" s="12"/>
    </row>
    <row r="13" spans="1:5" ht="12.75">
      <c r="A13" s="73">
        <f>'izolaterski radovi'!A4</f>
        <v>400</v>
      </c>
      <c r="B13" s="42" t="str">
        <f>'izolaterski radovi'!B297</f>
        <v>IZOLATERSKI RADOVI</v>
      </c>
      <c r="C13" s="12"/>
      <c r="D13" s="12"/>
      <c r="E13" s="12"/>
    </row>
    <row r="14" spans="1:5" ht="12.75">
      <c r="A14" s="10"/>
      <c r="B14" s="42"/>
      <c r="C14" s="12"/>
      <c r="D14" s="12"/>
      <c r="E14" s="12"/>
    </row>
    <row r="15" spans="1:5" ht="12.75">
      <c r="A15" s="73">
        <f>'limarski radovi'!A4</f>
        <v>500</v>
      </c>
      <c r="B15" s="42" t="str">
        <f>'limarski radovi'!B33</f>
        <v>LIMARSKI RADOVI</v>
      </c>
      <c r="C15" s="12"/>
      <c r="D15" s="12"/>
      <c r="E15" s="12"/>
    </row>
    <row r="16" ht="12.75">
      <c r="A16" s="10"/>
    </row>
    <row r="17" spans="1:5" ht="12.75">
      <c r="A17" s="73">
        <f>'stolarski radovi'!A4</f>
        <v>600</v>
      </c>
      <c r="B17" s="42" t="str">
        <f>'stolarski radovi'!B4</f>
        <v>STOLARSKI RADOVI</v>
      </c>
      <c r="E17" s="12"/>
    </row>
    <row r="18" ht="12.75">
      <c r="A18" s="73"/>
    </row>
    <row r="19" spans="1:5" ht="12.75">
      <c r="A19" s="73">
        <f>'bravarski radovi'!A4</f>
        <v>700</v>
      </c>
      <c r="B19" s="42" t="str">
        <f>'bravarski radovi'!B4</f>
        <v>BRAVARSKI RADOVI</v>
      </c>
      <c r="E19" s="12"/>
    </row>
    <row r="20" ht="12.75">
      <c r="A20" s="73"/>
    </row>
    <row r="21" spans="1:5" ht="12.75">
      <c r="A21" s="73">
        <f>keramičarski!A189</f>
        <v>800</v>
      </c>
      <c r="B21" s="42" t="str">
        <f>keramičarski!B189</f>
        <v>KERAMIČARSKI RADOVI</v>
      </c>
      <c r="E21" s="12"/>
    </row>
    <row r="22" spans="1:2" ht="12.75">
      <c r="A22" s="73"/>
      <c r="B22" s="42"/>
    </row>
    <row r="23" spans="1:5" ht="12.75">
      <c r="A23" s="73">
        <f>'fasaderski radovi'!A212</f>
        <v>900</v>
      </c>
      <c r="B23" s="42" t="str">
        <f>'fasaderski radovi'!B212</f>
        <v>FASADERSKI RADOVI</v>
      </c>
      <c r="E23" s="12"/>
    </row>
    <row r="24" spans="1:10" ht="12.75">
      <c r="A24" s="73"/>
      <c r="J24" s="12"/>
    </row>
    <row r="25" spans="1:5" ht="12.75">
      <c r="A25" s="73">
        <f>molersko!A127</f>
        <v>1000</v>
      </c>
      <c r="B25" s="42" t="str">
        <f>molersko!B127</f>
        <v>MOLERSKO- FARBARSKI RADOVI</v>
      </c>
      <c r="E25" s="12"/>
    </row>
    <row r="26" ht="12.75">
      <c r="A26" s="73"/>
    </row>
    <row r="27" spans="1:2" ht="12.75">
      <c r="A27" s="73" t="s">
        <v>1490</v>
      </c>
      <c r="B27" s="42" t="s">
        <v>1491</v>
      </c>
    </row>
    <row r="28" spans="1:5" ht="12.75">
      <c r="A28" s="73"/>
      <c r="B28" s="42"/>
      <c r="E28" s="12"/>
    </row>
    <row r="29" spans="1:5" ht="12.75">
      <c r="A29" s="73" t="s">
        <v>1489</v>
      </c>
      <c r="B29" s="42" t="str">
        <f>'spusteni plafoni'!B4</f>
        <v>SPUŠTENI PLAFONI</v>
      </c>
      <c r="C29" s="12"/>
      <c r="D29" s="12"/>
      <c r="E29" s="12"/>
    </row>
    <row r="30" spans="1:5" ht="12.75">
      <c r="A30" s="10"/>
      <c r="B30" s="42"/>
      <c r="C30" s="12"/>
      <c r="D30" s="12"/>
      <c r="E30" s="12"/>
    </row>
    <row r="31" spans="1:5" ht="12.75">
      <c r="A31" s="73">
        <f>razni!A4</f>
        <v>1300</v>
      </c>
      <c r="B31" s="42" t="str">
        <f>razni!B4</f>
        <v>RAZNI RADOVI</v>
      </c>
      <c r="C31" s="9"/>
      <c r="D31" s="9"/>
      <c r="E31" s="12"/>
    </row>
    <row r="32" spans="1:5" ht="12.75">
      <c r="A32" s="6"/>
      <c r="B32" s="7"/>
      <c r="C32" s="9"/>
      <c r="D32" s="9"/>
      <c r="E32" s="20"/>
    </row>
    <row r="33" spans="1:8" ht="12.75">
      <c r="A33" s="16"/>
      <c r="B33" s="21" t="s">
        <v>1484</v>
      </c>
      <c r="C33" s="15"/>
      <c r="D33" s="15"/>
      <c r="E33" s="15"/>
      <c r="G33" s="41">
        <f>E33/razni!D28/120</f>
        <v>0</v>
      </c>
      <c r="H33" s="2" t="s">
        <v>782</v>
      </c>
    </row>
    <row r="34" spans="1:5" ht="12.75">
      <c r="A34" s="19"/>
      <c r="B34" s="22"/>
      <c r="C34" s="23"/>
      <c r="D34" s="23"/>
      <c r="E34" s="23"/>
    </row>
    <row r="35" spans="1:5" ht="12.75">
      <c r="A35" s="19"/>
      <c r="B35" s="39"/>
      <c r="C35" s="27"/>
      <c r="D35" s="27"/>
      <c r="E35" s="23"/>
    </row>
    <row r="36" spans="1:5" ht="12.75">
      <c r="A36" s="19"/>
      <c r="B36" s="22"/>
      <c r="C36" s="23"/>
      <c r="D36" s="23"/>
      <c r="E36" s="23"/>
    </row>
    <row r="37" spans="1:5" ht="12.75">
      <c r="A37" s="6"/>
      <c r="B37" s="7"/>
      <c r="C37" s="9"/>
      <c r="D37" s="9"/>
      <c r="E37" s="9"/>
    </row>
    <row r="38" spans="1:5" ht="12.75">
      <c r="A38" s="6"/>
      <c r="B38" s="7"/>
      <c r="C38" s="9"/>
      <c r="D38" s="9"/>
      <c r="E38" s="9"/>
    </row>
    <row r="39" spans="1:5" ht="12.75">
      <c r="A39" s="6"/>
      <c r="B39" s="7"/>
      <c r="C39" s="9"/>
      <c r="D39" s="9"/>
      <c r="E39" s="9"/>
    </row>
    <row r="40" spans="1:5" ht="12.75">
      <c r="A40" s="6"/>
      <c r="B40" s="7"/>
      <c r="C40" s="9"/>
      <c r="D40" s="9"/>
      <c r="E40" s="9"/>
    </row>
    <row r="41" spans="1:5" ht="12.75">
      <c r="A41" s="6"/>
      <c r="B41" s="7"/>
      <c r="C41" s="9"/>
      <c r="D41" s="9"/>
      <c r="E41" s="9"/>
    </row>
  </sheetData>
  <sheetProtection/>
  <mergeCells count="3">
    <mergeCell ref="A1:A2"/>
    <mergeCell ref="B1:B2"/>
    <mergeCell ref="E1:E2"/>
  </mergeCells>
  <printOptions/>
  <pageMargins left="0.5511811023622047" right="0.2362204724409449" top="0.5905511811023623" bottom="0.5118110236220472" header="0.4724409448818898" footer="0.5511811023622047"/>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5:G36"/>
  <sheetViews>
    <sheetView view="pageLayout" zoomScaleSheetLayoutView="100" workbookViewId="0" topLeftCell="A7">
      <selection activeCell="E21" sqref="E21"/>
    </sheetView>
  </sheetViews>
  <sheetFormatPr defaultColWidth="8.88671875" defaultRowHeight="15"/>
  <cols>
    <col min="1" max="1" width="5.77734375" style="2" customWidth="1"/>
    <col min="2" max="2" width="33.77734375" style="2" customWidth="1"/>
    <col min="3" max="4" width="7.77734375" style="2" customWidth="1"/>
    <col min="5" max="5" width="11.77734375" style="2" customWidth="1"/>
    <col min="6" max="6" width="12.77734375" style="2" customWidth="1"/>
    <col min="7" max="16384" width="8.88671875" style="2" customWidth="1"/>
  </cols>
  <sheetData>
    <row r="5" spans="1:6" ht="12.75">
      <c r="A5" s="6"/>
      <c r="B5" s="7"/>
      <c r="C5" s="8"/>
      <c r="D5" s="8"/>
      <c r="E5" s="9"/>
      <c r="F5" s="9"/>
    </row>
    <row r="6" spans="1:6" ht="18">
      <c r="A6" s="426" t="s">
        <v>1471</v>
      </c>
      <c r="B6" s="426"/>
      <c r="C6" s="426"/>
      <c r="D6" s="426"/>
      <c r="E6" s="426"/>
      <c r="F6" s="426"/>
    </row>
    <row r="7" spans="1:6" ht="12.75">
      <c r="A7" s="6"/>
      <c r="B7" s="7"/>
      <c r="C7" s="8"/>
      <c r="D7" s="8"/>
      <c r="E7" s="9"/>
      <c r="F7" s="9"/>
    </row>
    <row r="8" spans="1:6" ht="12.75">
      <c r="A8" s="6"/>
      <c r="B8" s="7"/>
      <c r="C8" s="8"/>
      <c r="D8" s="8"/>
      <c r="E8" s="9"/>
      <c r="F8" s="9"/>
    </row>
    <row r="9" spans="1:6" ht="14.25">
      <c r="A9" s="427"/>
      <c r="B9" s="427"/>
      <c r="C9" s="427"/>
      <c r="D9" s="427"/>
      <c r="E9" s="427"/>
      <c r="F9" s="427"/>
    </row>
    <row r="10" spans="1:7" ht="87.75" customHeight="1">
      <c r="A10" s="185"/>
      <c r="B10" s="428" t="s">
        <v>1472</v>
      </c>
      <c r="C10" s="425"/>
      <c r="D10" s="425"/>
      <c r="E10" s="425"/>
      <c r="F10" s="32"/>
      <c r="G10" s="41"/>
    </row>
    <row r="11" spans="1:7" ht="36.75" customHeight="1">
      <c r="A11" s="185"/>
      <c r="B11" s="428" t="s">
        <v>1473</v>
      </c>
      <c r="C11" s="425"/>
      <c r="D11" s="425"/>
      <c r="E11" s="425"/>
      <c r="F11" s="32"/>
      <c r="G11" s="41"/>
    </row>
    <row r="12" spans="1:7" ht="51.75" customHeight="1">
      <c r="A12" s="185"/>
      <c r="B12" s="428" t="s">
        <v>1474</v>
      </c>
      <c r="C12" s="425"/>
      <c r="D12" s="425"/>
      <c r="E12" s="425"/>
      <c r="F12" s="32"/>
      <c r="G12" s="41"/>
    </row>
    <row r="13" spans="1:7" ht="182.25" customHeight="1">
      <c r="A13" s="185"/>
      <c r="B13" s="424" t="s">
        <v>1486</v>
      </c>
      <c r="C13" s="425"/>
      <c r="D13" s="425"/>
      <c r="E13" s="425"/>
      <c r="F13" s="32"/>
      <c r="G13" s="41"/>
    </row>
    <row r="14" spans="1:7" ht="50.25" customHeight="1">
      <c r="A14" s="185"/>
      <c r="B14" s="424" t="s">
        <v>1487</v>
      </c>
      <c r="C14" s="429"/>
      <c r="D14" s="429"/>
      <c r="E14" s="429"/>
      <c r="F14" s="32"/>
      <c r="G14" s="41"/>
    </row>
    <row r="15" spans="1:7" ht="53.25" customHeight="1">
      <c r="A15" s="185"/>
      <c r="B15" s="424" t="s">
        <v>1480</v>
      </c>
      <c r="C15" s="425"/>
      <c r="D15" s="425"/>
      <c r="E15" s="425"/>
      <c r="F15" s="32"/>
      <c r="G15" s="41"/>
    </row>
    <row r="16" spans="1:3" ht="41.25" customHeight="1">
      <c r="A16" s="185"/>
      <c r="B16" s="32"/>
      <c r="C16" s="41"/>
    </row>
    <row r="17" spans="1:7" ht="12.75">
      <c r="A17" s="185"/>
      <c r="B17" s="49"/>
      <c r="C17" s="62"/>
      <c r="D17" s="189"/>
      <c r="E17" s="32"/>
      <c r="F17" s="32"/>
      <c r="G17" s="41"/>
    </row>
    <row r="18" spans="1:6" ht="12.75">
      <c r="A18" s="6"/>
      <c r="B18" s="7"/>
      <c r="C18" s="8"/>
      <c r="D18" s="8"/>
      <c r="E18" s="9"/>
      <c r="F18" s="9"/>
    </row>
    <row r="19" spans="1:6" ht="12.75">
      <c r="A19" s="6"/>
      <c r="B19" s="7"/>
      <c r="C19" s="8"/>
      <c r="D19" s="8"/>
      <c r="E19" s="9"/>
      <c r="F19" s="9"/>
    </row>
    <row r="20" ht="12.75">
      <c r="B20" s="25"/>
    </row>
    <row r="22" ht="12.75">
      <c r="A22" s="18"/>
    </row>
    <row r="23" ht="12.75">
      <c r="A23" s="24"/>
    </row>
    <row r="24" ht="12.75">
      <c r="A24" s="24"/>
    </row>
    <row r="25" ht="12.75">
      <c r="A25" s="24"/>
    </row>
    <row r="26" ht="12.75">
      <c r="A26" s="24"/>
    </row>
    <row r="27" ht="12.75">
      <c r="A27" s="18"/>
    </row>
    <row r="28" ht="12.75">
      <c r="A28" s="24"/>
    </row>
    <row r="29" ht="12.75">
      <c r="A29" s="24"/>
    </row>
    <row r="30" ht="12.75">
      <c r="A30" s="18"/>
    </row>
    <row r="31" ht="12.75">
      <c r="A31" s="24"/>
    </row>
    <row r="33" ht="12.75">
      <c r="A33" s="18"/>
    </row>
    <row r="36" ht="12.75">
      <c r="A36" s="18"/>
    </row>
  </sheetData>
  <sheetProtection/>
  <mergeCells count="8">
    <mergeCell ref="B15:E15"/>
    <mergeCell ref="A6:F6"/>
    <mergeCell ref="A9:F9"/>
    <mergeCell ref="B10:E10"/>
    <mergeCell ref="B11:E11"/>
    <mergeCell ref="B12:E12"/>
    <mergeCell ref="B13:E13"/>
    <mergeCell ref="B14:E14"/>
  </mergeCells>
  <printOptions/>
  <pageMargins left="0.5511811023622047" right="0.2362204724409449" top="0.5905511811023623" bottom="0.5118110236220472" header="0.4724409448818898" footer="0.5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8"/>
  <sheetViews>
    <sheetView view="pageBreakPreview" zoomScale="110" zoomScaleSheetLayoutView="110" workbookViewId="0" topLeftCell="A312">
      <selection activeCell="J334" sqref="J334"/>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row>
    <row r="3" spans="1:6" ht="12.75">
      <c r="A3" s="52"/>
      <c r="B3" s="32"/>
      <c r="C3" s="62"/>
      <c r="D3" s="32"/>
      <c r="E3" s="32"/>
      <c r="F3" s="32"/>
    </row>
    <row r="4" spans="1:6" ht="12.75">
      <c r="A4" s="185"/>
      <c r="B4" s="48" t="s">
        <v>15</v>
      </c>
      <c r="C4" s="62"/>
      <c r="D4" s="189"/>
      <c r="E4" s="32"/>
      <c r="F4" s="32"/>
    </row>
    <row r="5" spans="1:6" ht="12.75">
      <c r="A5" s="84">
        <v>100</v>
      </c>
      <c r="B5" s="82" t="s">
        <v>14</v>
      </c>
      <c r="C5" s="63"/>
      <c r="D5" s="190"/>
      <c r="E5" s="13"/>
      <c r="F5" s="13"/>
    </row>
    <row r="6" spans="1:6" ht="12.75">
      <c r="A6" s="73"/>
      <c r="B6" s="74"/>
      <c r="C6" s="59"/>
      <c r="D6" s="80"/>
      <c r="E6" s="3"/>
      <c r="F6" s="3"/>
    </row>
    <row r="7" spans="1:4" ht="114.75">
      <c r="A7" s="53"/>
      <c r="B7" s="7" t="s">
        <v>23</v>
      </c>
      <c r="D7" s="191"/>
    </row>
    <row r="8" spans="1:4" ht="12.75">
      <c r="A8" s="53"/>
      <c r="B8" s="7"/>
      <c r="D8" s="191"/>
    </row>
    <row r="9" spans="1:4" ht="140.25">
      <c r="A9" s="58">
        <f>A5+1</f>
        <v>101</v>
      </c>
      <c r="B9" s="57" t="s">
        <v>22</v>
      </c>
      <c r="D9" s="191"/>
    </row>
    <row r="10" spans="1:6" ht="51">
      <c r="A10" s="73"/>
      <c r="B10" s="57" t="s">
        <v>16</v>
      </c>
      <c r="C10" s="65"/>
      <c r="D10" s="80"/>
      <c r="E10" s="40"/>
      <c r="F10" s="28"/>
    </row>
    <row r="11" spans="1:4" ht="38.25">
      <c r="A11" s="73"/>
      <c r="B11" s="57" t="s">
        <v>17</v>
      </c>
      <c r="D11" s="191"/>
    </row>
    <row r="12" spans="1:4" ht="12.75">
      <c r="A12" s="73"/>
      <c r="B12" s="67" t="s">
        <v>286</v>
      </c>
      <c r="D12" s="191"/>
    </row>
    <row r="13" spans="1:4" ht="12.75">
      <c r="A13" s="73"/>
      <c r="B13" s="57" t="s">
        <v>825</v>
      </c>
      <c r="C13" s="65" t="s">
        <v>18</v>
      </c>
      <c r="D13" s="192">
        <f>(0.2*4.92*24.35)*1.01</f>
        <v>24.200004</v>
      </c>
    </row>
    <row r="14" spans="1:4" ht="25.5">
      <c r="A14" s="73"/>
      <c r="B14" s="70" t="s">
        <v>826</v>
      </c>
      <c r="C14" s="65" t="s">
        <v>18</v>
      </c>
      <c r="D14" s="192">
        <f>(0.2*3.82*(2.6*3+4.73+5.28*2-0.4)-0.2*1.2*2.15-0.2*0.9*2.15*2)*1.01</f>
        <v>16.205611600000005</v>
      </c>
    </row>
    <row r="15" spans="1:6" ht="25.5">
      <c r="A15" s="73"/>
      <c r="B15" s="70" t="s">
        <v>827</v>
      </c>
      <c r="C15" s="68" t="s">
        <v>18</v>
      </c>
      <c r="D15" s="85">
        <f>(0.2*5.89*(2.6*3+2.8+3.1+5.1+5.45)-0.2*(1.1*1+0.9*2)*2.15)*1.01</f>
        <v>27.592695</v>
      </c>
      <c r="E15" s="4"/>
      <c r="F15" s="4"/>
    </row>
    <row r="16" spans="1:6" ht="12.75">
      <c r="A16" s="73"/>
      <c r="C16" s="65" t="s">
        <v>18</v>
      </c>
      <c r="D16" s="69">
        <f>SUM(D13:D15)</f>
        <v>67.9983106</v>
      </c>
      <c r="E16" s="40"/>
      <c r="F16" s="28"/>
    </row>
    <row r="17" spans="1:6" ht="12.75">
      <c r="A17" s="73"/>
      <c r="C17" s="65"/>
      <c r="D17" s="69"/>
      <c r="E17" s="40"/>
      <c r="F17" s="28"/>
    </row>
    <row r="18" spans="1:6" ht="12.75">
      <c r="A18" s="73"/>
      <c r="B18" s="20" t="s">
        <v>156</v>
      </c>
      <c r="C18" s="65"/>
      <c r="D18" s="69"/>
      <c r="E18" s="40"/>
      <c r="F18" s="28"/>
    </row>
    <row r="19" spans="1:6" ht="38.25">
      <c r="A19" s="73"/>
      <c r="B19" s="177" t="s">
        <v>828</v>
      </c>
      <c r="C19" s="65" t="s">
        <v>18</v>
      </c>
      <c r="D19" s="192">
        <f>(0.2*3.65*84.15+0.2*1.5*(1*7+0.9*4+1.5+1.2)+0.2*3.97*103.47+0.2*1.65*(1*19+0.9*4+1.5*4))*1.01</f>
        <v>158.5828068</v>
      </c>
      <c r="E19" s="40"/>
      <c r="F19" s="28"/>
    </row>
    <row r="20" spans="1:4" ht="38.25">
      <c r="A20" s="73"/>
      <c r="B20" s="57" t="s">
        <v>829</v>
      </c>
      <c r="C20" s="65" t="s">
        <v>18</v>
      </c>
      <c r="D20" s="192">
        <f>(0.2*4.82*(0.45+1.3+3.5*2+1.55+4.15*2+2.57)-0.2*2.15*(0.9*1+1*2))*1.01</f>
        <v>19.352488800000003</v>
      </c>
    </row>
    <row r="21" spans="1:4" ht="25.5">
      <c r="A21" s="73"/>
      <c r="B21" s="70" t="s">
        <v>830</v>
      </c>
      <c r="C21" s="65" t="s">
        <v>18</v>
      </c>
      <c r="D21" s="192">
        <f>(0.2*3.82*(1.6+2.95+4.15*2+2.57+2.6*6)-0.2*2.15*(0.9+1*2+1.6))*1.01</f>
        <v>21.981922800000003</v>
      </c>
    </row>
    <row r="22" spans="1:6" ht="25.5">
      <c r="A22" s="73"/>
      <c r="B22" s="70" t="s">
        <v>831</v>
      </c>
      <c r="C22" s="68" t="s">
        <v>18</v>
      </c>
      <c r="D22" s="85">
        <f>(0.2*3.82*(1.6+2.95+4.15*2+2.57)-0.2*2.15*(0.9*2+1))*1.01</f>
        <v>10.6826488</v>
      </c>
      <c r="E22" s="4"/>
      <c r="F22" s="4"/>
    </row>
    <row r="23" spans="1:6" ht="12.75">
      <c r="A23" s="73"/>
      <c r="C23" s="65" t="s">
        <v>18</v>
      </c>
      <c r="D23" s="69">
        <f>SUM(D19:D22)</f>
        <v>210.5998672</v>
      </c>
      <c r="E23" s="40"/>
      <c r="F23" s="28"/>
    </row>
    <row r="24" spans="1:6" ht="12.75">
      <c r="A24" s="73"/>
      <c r="C24" s="65"/>
      <c r="D24" s="69"/>
      <c r="E24" s="40"/>
      <c r="F24" s="28"/>
    </row>
    <row r="25" spans="1:6" ht="12.75">
      <c r="A25" s="55"/>
      <c r="B25" s="67" t="s">
        <v>302</v>
      </c>
      <c r="C25" s="27"/>
      <c r="D25" s="69"/>
      <c r="E25" s="40"/>
      <c r="F25" s="28"/>
    </row>
    <row r="26" spans="1:6" ht="63.75">
      <c r="A26" s="55"/>
      <c r="B26" s="70" t="s">
        <v>832</v>
      </c>
      <c r="C26" s="65" t="s">
        <v>18</v>
      </c>
      <c r="D26" s="69">
        <f>0.2*(3.97*(2.51+12.1+2*2.51+8.61+3.32+3.52)-2.15*(2*1.2+4*1)+3.87*5.9+4.5*3+3.69*5.9-1*2.15+8.46+5.31+7.68+2.57*7.68+2.06*3.6-1*2.15-1.6*2.15)*1.01</f>
        <v>45.3439904</v>
      </c>
      <c r="E26" s="40"/>
      <c r="F26" s="28"/>
    </row>
    <row r="27" spans="1:6" ht="51">
      <c r="A27" s="55"/>
      <c r="B27" s="70" t="s">
        <v>833</v>
      </c>
      <c r="C27" s="65" t="s">
        <v>18</v>
      </c>
      <c r="D27" s="69">
        <f>0.2*(4.5*(5.1+5.2)-2*1.6*2.15+4.5*(5.5+5.3+5.4+5.3)-1.6*2.15+4.82*(2.8+6.01)+4.5*2*(5.45+2.15)-2*1*2.15-2.16*2.15-2.16*4.5)*1.01</f>
        <v>45.4460004</v>
      </c>
      <c r="E27" s="40"/>
      <c r="F27" s="28"/>
    </row>
    <row r="28" spans="1:6" ht="25.5">
      <c r="A28" s="55"/>
      <c r="B28" s="70" t="s">
        <v>834</v>
      </c>
      <c r="C28" s="65" t="s">
        <v>18</v>
      </c>
      <c r="D28" s="69">
        <f>0.2*(3.82*2.41+3.5*(5.6+3.05+2.2)-2*1*2.15)*1.01</f>
        <v>8.6620024</v>
      </c>
      <c r="E28" s="30"/>
      <c r="F28" s="30"/>
    </row>
    <row r="29" spans="1:6" ht="25.5">
      <c r="A29" s="55"/>
      <c r="B29" s="70" t="s">
        <v>835</v>
      </c>
      <c r="C29" s="68" t="s">
        <v>18</v>
      </c>
      <c r="D29" s="71">
        <f>0.2*(3.82*(2.41+0.45)+3.5*(5.6+3.05+2.2)-2*1*2.15)*1.01</f>
        <v>9.0092404</v>
      </c>
      <c r="E29" s="77"/>
      <c r="F29" s="77"/>
    </row>
    <row r="30" spans="1:6" ht="12.75">
      <c r="A30" s="54"/>
      <c r="B30" s="70"/>
      <c r="C30" s="65" t="s">
        <v>18</v>
      </c>
      <c r="D30" s="69">
        <f>SUM(D26:D29)</f>
        <v>108.4612336</v>
      </c>
      <c r="E30" s="40"/>
      <c r="F30" s="28"/>
    </row>
    <row r="31" spans="1:6" ht="12.75">
      <c r="A31" s="73"/>
      <c r="C31" s="65"/>
      <c r="D31" s="69"/>
      <c r="E31" s="40"/>
      <c r="F31" s="28"/>
    </row>
    <row r="32" spans="1:6" ht="140.25">
      <c r="A32" s="73">
        <f>A9+1</f>
        <v>102</v>
      </c>
      <c r="B32" s="57" t="s">
        <v>21</v>
      </c>
      <c r="C32" s="65"/>
      <c r="D32" s="80"/>
      <c r="E32" s="40"/>
      <c r="F32" s="28"/>
    </row>
    <row r="33" spans="1:6" ht="51">
      <c r="A33" s="73"/>
      <c r="B33" s="57" t="s">
        <v>16</v>
      </c>
      <c r="C33" s="65"/>
      <c r="D33" s="80"/>
      <c r="E33" s="28"/>
      <c r="F33" s="28"/>
    </row>
    <row r="34" spans="1:6" ht="38.25">
      <c r="A34" s="73"/>
      <c r="B34" s="57" t="s">
        <v>17</v>
      </c>
      <c r="C34" s="65"/>
      <c r="D34" s="80"/>
      <c r="E34" s="30"/>
      <c r="F34" s="30"/>
    </row>
    <row r="35" spans="1:4" ht="12.75">
      <c r="A35" s="73" t="s">
        <v>19</v>
      </c>
      <c r="B35" s="67" t="s">
        <v>287</v>
      </c>
      <c r="D35" s="191"/>
    </row>
    <row r="36" spans="1:4" ht="25.5">
      <c r="A36" s="73"/>
      <c r="B36" s="57" t="s">
        <v>836</v>
      </c>
      <c r="C36" s="65" t="s">
        <v>18</v>
      </c>
      <c r="D36" s="192">
        <f>(0.2*4.92*96.25-0.2*4*2.4*11-0.2*1*2.4*3-0.2*2*2.4*3-0.2*5.5*3.5)*1.01</f>
        <v>66.07420000000002</v>
      </c>
    </row>
    <row r="37" spans="1:4" ht="38.25">
      <c r="A37" s="73"/>
      <c r="B37" s="70" t="s">
        <v>837</v>
      </c>
      <c r="C37" s="65" t="s">
        <v>18</v>
      </c>
      <c r="D37" s="192">
        <f>(0.2*3.82*(36.4*2-6.4-0.4*6+3.1*2+4*2+0.8*2)-0.2*(2.1*2+3.1*2+4*5+2*4+1.8*2+3+2.9)*2.5)*1.01</f>
        <v>37.38737199999999</v>
      </c>
    </row>
    <row r="38" spans="1:4" ht="38.25">
      <c r="A38" s="73"/>
      <c r="B38" s="57" t="s">
        <v>838</v>
      </c>
      <c r="C38" s="65" t="s">
        <v>18</v>
      </c>
      <c r="D38" s="69">
        <f>(0.2*3.5*(5.6*6+0.8*2)-0.2*2.5*(4*5+1*2)-0.2*3*2+0.2*5.89*(5.6*8+3.1*2)-0.2*2.7*(0.8*2+1*6)-0.2*3.75*(5.6*2+2.8*2))*1.01</f>
        <v>56.37214000000001</v>
      </c>
    </row>
    <row r="39" spans="1:6" ht="51">
      <c r="A39" s="73"/>
      <c r="B39" s="57" t="s">
        <v>839</v>
      </c>
      <c r="C39" s="68" t="s">
        <v>18</v>
      </c>
      <c r="D39" s="85">
        <f>(0.2*0.6*(0.8*2+5.6*6)+0.2*0.9*5.6*8+0.2*0.6*(4.8*2+35.6)+0.2*1.6*36.7+0.2*1.05*(104.2+36.7+5.5*2))*1.01</f>
        <v>61.96855000000001</v>
      </c>
      <c r="E39" s="4"/>
      <c r="F39" s="4"/>
    </row>
    <row r="40" spans="1:6" ht="12.75">
      <c r="A40" s="73"/>
      <c r="C40" s="65" t="s">
        <v>18</v>
      </c>
      <c r="D40" s="69">
        <f>SUM(D36:D39)</f>
        <v>221.80226200000004</v>
      </c>
      <c r="E40" s="40"/>
      <c r="F40" s="28"/>
    </row>
    <row r="41" spans="1:6" ht="12.75">
      <c r="A41" s="73"/>
      <c r="C41" s="65"/>
      <c r="D41" s="69"/>
      <c r="E41" s="40"/>
      <c r="F41" s="28"/>
    </row>
    <row r="42" spans="1:6" ht="12.75">
      <c r="A42" s="73"/>
      <c r="B42" s="20" t="s">
        <v>156</v>
      </c>
      <c r="C42" s="65"/>
      <c r="D42" s="69"/>
      <c r="E42" s="40"/>
      <c r="F42" s="28"/>
    </row>
    <row r="43" spans="1:6" ht="12.75" hidden="1">
      <c r="A43" s="73"/>
      <c r="B43" s="2" t="s">
        <v>160</v>
      </c>
      <c r="C43" s="65" t="s">
        <v>18</v>
      </c>
      <c r="D43" s="69">
        <v>0</v>
      </c>
      <c r="E43" s="40"/>
      <c r="F43" s="28"/>
    </row>
    <row r="44" spans="1:4" ht="51">
      <c r="A44" s="73"/>
      <c r="B44" s="57" t="s">
        <v>840</v>
      </c>
      <c r="C44" s="65" t="s">
        <v>18</v>
      </c>
      <c r="D44" s="192">
        <f>(0.2*4.5*(5.45*8+5.5*10+5.55*14+4.5*1)-0.2*4*2*13-0.2*5.32*3.5-0.2*5.37*3.5-0.2*1.3*2-0.2*2*2-0.2*2*3.5-0.2*1.27*2.5-0.2*1.39*3*2-0.2*4.05*2.5*9-0.2*3.05*2.5)*1.01</f>
        <v>110.76064</v>
      </c>
    </row>
    <row r="45" spans="1:4" ht="51">
      <c r="A45" s="73"/>
      <c r="B45" s="70" t="s">
        <v>841</v>
      </c>
      <c r="C45" s="65" t="s">
        <v>18</v>
      </c>
      <c r="D45" s="192">
        <f>(0.2*3.5*(5.6*33+4.5+0.8*2+0.4*2)-0.2*3*(6.5+0.66*2)-0.2*3*5.3-0.2*2.8*1.6-0.2*2.5*1*36-0.2*2.5*4.05*5-0.2*2.5*3.05*1-0.2*2.5*2.05*3-0.2*2.5*1.05*1)*1.01</f>
        <v>93.09371999999996</v>
      </c>
    </row>
    <row r="46" spans="1:4" ht="51">
      <c r="A46" s="73"/>
      <c r="B46" s="70" t="s">
        <v>842</v>
      </c>
      <c r="C46" s="65" t="s">
        <v>18</v>
      </c>
      <c r="D46" s="192">
        <f>(0.2*3.5*(5.6*32+4.5+0.8*2)-0.2*3*(5.6+0.8*2)-0.2*3*5.6-0.2*2.8*1.6-0.2*2.5*1*44-0.2*2.5*4.05*5-0.2*2.5*2.05*3-0.2*2.5*1.05-0.2*2.5-3.05)*1.01</f>
        <v>82.67759000000001</v>
      </c>
    </row>
    <row r="47" spans="1:6" ht="25.5">
      <c r="A47" s="73"/>
      <c r="B47" s="57" t="s">
        <v>843</v>
      </c>
      <c r="C47" s="68" t="s">
        <v>18</v>
      </c>
      <c r="D47" s="85">
        <f>(0.2*1.05*(169.6+72))*1.01</f>
        <v>51.24336</v>
      </c>
      <c r="E47" s="4"/>
      <c r="F47" s="4"/>
    </row>
    <row r="48" spans="1:6" ht="12.75">
      <c r="A48" s="73"/>
      <c r="C48" s="65" t="s">
        <v>18</v>
      </c>
      <c r="D48" s="69">
        <f>SUM(D43:D47)</f>
        <v>337.77530999999993</v>
      </c>
      <c r="E48" s="40"/>
      <c r="F48" s="28"/>
    </row>
    <row r="49" spans="1:6" ht="12.75">
      <c r="A49" s="73"/>
      <c r="C49" s="65"/>
      <c r="D49" s="69"/>
      <c r="E49" s="40"/>
      <c r="F49" s="28"/>
    </row>
    <row r="50" spans="1:6" ht="12.75">
      <c r="A50" s="55"/>
      <c r="B50" s="67" t="s">
        <v>302</v>
      </c>
      <c r="C50" s="27"/>
      <c r="D50" s="69"/>
      <c r="E50" s="40"/>
      <c r="F50" s="28"/>
    </row>
    <row r="51" spans="1:6" ht="63.75">
      <c r="A51" s="55"/>
      <c r="B51" s="70" t="s">
        <v>844</v>
      </c>
      <c r="C51" s="65" t="s">
        <v>18</v>
      </c>
      <c r="D51" s="69">
        <f>0.2*(3.48*(5.45+5.5)-(1.2*3+1.8*3*3)+3.98*5.4-(0.11+0.17+0.22+0.35+0.42)+3.32*(5.4+5.3)-(0.75+0.5+0.85+0.7+0.64+0.61+0.31+0.36+0.42+0.27)+3.62*5.15+3.07*3*5.6-2*2*2.15)*1.01</f>
        <v>26.312722</v>
      </c>
      <c r="E51" s="40"/>
      <c r="F51" s="28"/>
    </row>
    <row r="52" spans="1:6" ht="76.5">
      <c r="A52" s="55"/>
      <c r="B52" s="70" t="s">
        <v>845</v>
      </c>
      <c r="C52" s="65" t="s">
        <v>18</v>
      </c>
      <c r="D52" s="69">
        <f>((4.5*(3.05+2.05)+4*(5.5+1.38)-(4.95+2.2))+(4.5*(5.15+5.6+5.55)-4*(5.6+5.55))+(4.23*(5.45+5.5+5.3+5.4+5.3)-3.23*(5.3+5.4)-2*1*3.93-(1.01+1.09+1.06+1.25+0.82+0.43+1.3+1.14+1.3+0.59))+(4.5*(5.555*2+5.5+5.45)-9*4-6*2.2))*1.01</f>
        <v>185.56477500000003</v>
      </c>
      <c r="E52" s="40"/>
      <c r="F52" s="28"/>
    </row>
    <row r="53" spans="1:6" ht="51">
      <c r="A53" s="55"/>
      <c r="B53" s="70" t="s">
        <v>846</v>
      </c>
      <c r="C53" s="65" t="s">
        <v>18</v>
      </c>
      <c r="D53" s="69">
        <f>0.2*(3.2*5.6*4+3.5*5.6*8+4*3.82+4.14*24+1.6*4.14+3.5*3.1+3.5*(3.05+2.2)-(15*2.37+4*2.25+3*5.14+4*2.14+4*2.34+19*3))*1.01</f>
        <v>49.303958</v>
      </c>
      <c r="E53" s="30"/>
      <c r="F53" s="30"/>
    </row>
    <row r="54" spans="1:6" ht="38.25">
      <c r="A54" s="55"/>
      <c r="B54" s="70" t="s">
        <v>847</v>
      </c>
      <c r="C54" s="65" t="s">
        <v>18</v>
      </c>
      <c r="D54" s="69">
        <f>0.2*(5.6*(6+4+2+2+4+3.1)*3.5-(11*2.36+2.24*4+2.28*1+2*2.33+1.34*6+1.5*2+1.9*3+3.4*2+1.6*1+3*15+5.14*2)+3.5*(2.2+3.05))*1.01</f>
        <v>62.55031000000001</v>
      </c>
      <c r="E54" s="30"/>
      <c r="F54" s="30"/>
    </row>
    <row r="55" spans="1:6" ht="25.5">
      <c r="A55" s="55"/>
      <c r="B55" s="57" t="s">
        <v>848</v>
      </c>
      <c r="C55" s="68" t="s">
        <v>18</v>
      </c>
      <c r="D55" s="71">
        <f>0.2*1.05*(131.85+30.75+37.7)</f>
        <v>42.06300000000001</v>
      </c>
      <c r="E55" s="77"/>
      <c r="F55" s="77"/>
    </row>
    <row r="56" spans="1:6" ht="12.75">
      <c r="A56" s="54"/>
      <c r="B56" s="70"/>
      <c r="C56" s="65" t="s">
        <v>18</v>
      </c>
      <c r="D56" s="69">
        <f>SUM(D51:D55)</f>
        <v>365.79476500000004</v>
      </c>
      <c r="E56" s="40"/>
      <c r="F56" s="28"/>
    </row>
    <row r="57" spans="1:6" ht="12.75">
      <c r="A57" s="73"/>
      <c r="C57" s="65"/>
      <c r="D57" s="69"/>
      <c r="E57" s="40"/>
      <c r="F57" s="28"/>
    </row>
    <row r="58" spans="1:6" ht="171">
      <c r="A58" s="73">
        <f>A32+1</f>
        <v>103</v>
      </c>
      <c r="B58" s="155" t="s">
        <v>115</v>
      </c>
      <c r="C58" s="65"/>
      <c r="D58" s="80"/>
      <c r="E58" s="40"/>
      <c r="F58" s="28"/>
    </row>
    <row r="59" spans="1:6" ht="12.75">
      <c r="A59" s="73"/>
      <c r="B59" s="67" t="s">
        <v>286</v>
      </c>
      <c r="C59" s="65"/>
      <c r="D59" s="80"/>
      <c r="E59" s="40"/>
      <c r="F59" s="28"/>
    </row>
    <row r="60" spans="1:6" ht="12.75">
      <c r="A60" s="73"/>
      <c r="B60" s="57" t="s">
        <v>849</v>
      </c>
      <c r="C60" s="27" t="s">
        <v>11</v>
      </c>
      <c r="D60" s="69">
        <f>(3.75*5.6*2)*1.01</f>
        <v>42.42</v>
      </c>
      <c r="E60" s="40"/>
      <c r="F60" s="28"/>
    </row>
    <row r="61" spans="1:6" ht="12.75">
      <c r="A61" s="73"/>
      <c r="B61" s="57"/>
      <c r="C61" s="27"/>
      <c r="D61" s="69"/>
      <c r="E61" s="40"/>
      <c r="F61" s="28"/>
    </row>
    <row r="62" spans="1:6" ht="12.75">
      <c r="A62" s="73"/>
      <c r="B62" s="67" t="s">
        <v>156</v>
      </c>
      <c r="C62" s="27"/>
      <c r="D62" s="69"/>
      <c r="E62" s="40"/>
      <c r="F62" s="28"/>
    </row>
    <row r="63" spans="1:6" ht="12.75">
      <c r="A63" s="73"/>
      <c r="B63" s="57" t="s">
        <v>850</v>
      </c>
      <c r="C63" s="27" t="s">
        <v>11</v>
      </c>
      <c r="D63" s="69">
        <f>(3.97*(5.5*2+5.55+5.4))</f>
        <v>87.14150000000002</v>
      </c>
      <c r="E63" s="40"/>
      <c r="F63" s="28"/>
    </row>
    <row r="64" spans="1:6" ht="12.75">
      <c r="A64" s="73"/>
      <c r="B64" s="57"/>
      <c r="C64" s="27"/>
      <c r="D64" s="69"/>
      <c r="E64" s="40"/>
      <c r="F64" s="28"/>
    </row>
    <row r="65" spans="1:6" ht="43.5" customHeight="1">
      <c r="A65" s="73"/>
      <c r="B65" s="44" t="s">
        <v>851</v>
      </c>
      <c r="C65" s="27" t="s">
        <v>11</v>
      </c>
      <c r="D65" s="69">
        <f>0.6*(2.7+2.8)+0.6*(3.1+2.8+2.7*3+3.7)+0.6*(3.2+3.3)</f>
        <v>17.82</v>
      </c>
      <c r="E65" s="40"/>
      <c r="F65" s="28"/>
    </row>
    <row r="66" spans="1:6" ht="12.75">
      <c r="A66" s="73"/>
      <c r="B66" s="57"/>
      <c r="C66" s="27"/>
      <c r="D66" s="69"/>
      <c r="E66" s="40"/>
      <c r="F66" s="28"/>
    </row>
    <row r="67" spans="1:4" ht="38.25">
      <c r="A67" s="53"/>
      <c r="B67" s="154" t="s">
        <v>110</v>
      </c>
      <c r="D67" s="191"/>
    </row>
    <row r="68" spans="1:4" ht="12.75">
      <c r="A68" s="53"/>
      <c r="B68" s="154"/>
      <c r="D68" s="191"/>
    </row>
    <row r="69" spans="1:6" ht="133.5" customHeight="1">
      <c r="A69" s="73">
        <f>A58+1</f>
        <v>104</v>
      </c>
      <c r="B69" s="57" t="s">
        <v>47</v>
      </c>
      <c r="C69" s="65"/>
      <c r="D69" s="80"/>
      <c r="E69" s="28"/>
      <c r="F69" s="28"/>
    </row>
    <row r="70" spans="1:6" ht="63.75">
      <c r="A70" s="73"/>
      <c r="B70" s="75" t="s">
        <v>24</v>
      </c>
      <c r="C70" s="65"/>
      <c r="D70" s="80"/>
      <c r="E70" s="30"/>
      <c r="F70" s="30"/>
    </row>
    <row r="71" spans="1:6" ht="12.75">
      <c r="A71" s="73"/>
      <c r="B71" s="67" t="s">
        <v>286</v>
      </c>
      <c r="C71" s="65"/>
      <c r="D71" s="80"/>
      <c r="E71" s="30"/>
      <c r="F71" s="30"/>
    </row>
    <row r="72" spans="1:6" ht="63.75">
      <c r="A72" s="73"/>
      <c r="B72" s="57" t="s">
        <v>852</v>
      </c>
      <c r="C72" s="27" t="s">
        <v>11</v>
      </c>
      <c r="D72" s="69">
        <f>(4.75*(120.1+0.31*2*18+0.21*2*4)-(4*2-3)*11+0.2*(4+2)*2*11-(2*2.4-3)*3+0.2*(2+2.4)*2*3-(2*2.4+2.75*3.5-3)*2+0.2*(4.75+2+3.5*2)*2+4.75*(25+9.1+8.6+7.6)+4.75*(21.4+14.1+18)+4.75*0.5*4*12)*1.01</f>
        <v>1204.36945</v>
      </c>
      <c r="E72" s="30"/>
      <c r="F72" s="30"/>
    </row>
    <row r="73" spans="1:6" ht="102">
      <c r="A73" s="73"/>
      <c r="B73" s="70" t="s">
        <v>853</v>
      </c>
      <c r="C73" s="27" t="s">
        <v>11</v>
      </c>
      <c r="D73" s="69">
        <f>(3.82*(104.1+0.21*2*11)-(2.1*2.5-3)*2+0.2*(2.1+2.5)*2*2-(3.1*2.5-3)*2+0.2*(3.1+2.5)*2*2-(4*2.5-3)*5+0.2*(4+2.5)*2*5-(2*2.5-3)*4+0.2*(2+2.5)*2*4-(1.8*2.5-3)*2+0.2*(1.8+2.5)*2*2-(3*2.5-3)*1+0.2*(3+2.5)*2*1-(2.9*2.5-3)+0.2*(2.9+2.5)*2*1+3.82*(10.75+12+7.1+8.9+9+39.5)+3.82*0.4*4*8)*1.01</f>
        <v>772.560514</v>
      </c>
      <c r="E73" s="30"/>
      <c r="F73" s="30"/>
    </row>
    <row r="74" spans="1:6" ht="63.75">
      <c r="A74" s="73"/>
      <c r="B74" s="70" t="s">
        <v>854</v>
      </c>
      <c r="C74" s="76" t="s">
        <v>11</v>
      </c>
      <c r="D74" s="85">
        <f>(5.89*(108.1+0.21*2*20-2.1*2)-(4*2.5-3)*5+0.2*(4+2.5)*2*5-(5.6*3.75-3)*2+0.2*(5.6+3.75)*2*2-(2.8*3.75-3)*2+0.2*(2.8+3.75)*2*2+5.89*(28.4+18+16.7+8.9+7.1+9))*1.01</f>
        <v>1131.27676</v>
      </c>
      <c r="E74" s="77"/>
      <c r="F74" s="77"/>
    </row>
    <row r="75" spans="1:6" ht="12.75">
      <c r="A75" s="186"/>
      <c r="B75" s="29"/>
      <c r="C75" s="27" t="s">
        <v>11</v>
      </c>
      <c r="D75" s="69">
        <f>SUM(D72:D74)</f>
        <v>3108.2067239999997</v>
      </c>
      <c r="E75" s="40"/>
      <c r="F75" s="28"/>
    </row>
    <row r="76" spans="1:6" ht="12.75">
      <c r="A76" s="186"/>
      <c r="B76" s="29"/>
      <c r="C76" s="27"/>
      <c r="D76" s="69"/>
      <c r="E76" s="40"/>
      <c r="F76" s="28"/>
    </row>
    <row r="77" spans="1:6" ht="12.75">
      <c r="A77" s="186"/>
      <c r="B77" s="67" t="s">
        <v>156</v>
      </c>
      <c r="C77" s="27"/>
      <c r="D77" s="69"/>
      <c r="E77" s="40"/>
      <c r="F77" s="28"/>
    </row>
    <row r="78" spans="1:6" ht="89.25">
      <c r="A78" s="186"/>
      <c r="B78" s="44" t="s">
        <v>855</v>
      </c>
      <c r="C78" s="27" t="s">
        <v>11</v>
      </c>
      <c r="D78" s="69">
        <f>(3.87*(15.7+23.86+9.1*2+6.74+31.73+10.12+13.04+14.3+16.27+15.77+19.32+14.28+13.86+10.06+14.18+10.64)+3.55*(32.66+14.3+16.27+13.49+90.8+11.57+(10.1-1.85)*7+(11.58-2.59)*2+11.46-2.54+13.75+13.73+26.48+10.94*2+15.03+13.55+12.12)-(1.5*2.15-3)*10)*1.01</f>
        <v>2330.8526490000004</v>
      </c>
      <c r="E78" s="40"/>
      <c r="F78" s="28"/>
    </row>
    <row r="79" spans="1:6" ht="102">
      <c r="A79" s="186"/>
      <c r="B79" s="29" t="s">
        <v>856</v>
      </c>
      <c r="C79" s="27" t="s">
        <v>11</v>
      </c>
      <c r="D79" s="69">
        <f>(4.82*(15.7*2+9.09*2+9.7+8.3)+4.82*(20.7+42.25)+4.5*(84.85-20.7+168.1+5.95*2+0.31*(31*2+7*2)+1.62*3+0.5*13*4)-(4*2-3)*8+0.25*(4+2)*2*8-(5.32*3.5-3)+0.25*(5.32+3.5*2)-(5.37*3.5-3)+0.25*(5.37+3.5*2)-(2*2-3)-(2*3.5-3)+0.25*(2*3.5)*2-(1.27*2.5-3)-(1.39*3-3)*2-(3.05*2.5-3)*1+0.25*(3.05+2.5)*2)*1.01</f>
        <v>1944.8682210000004</v>
      </c>
      <c r="E79" s="40"/>
      <c r="F79" s="69"/>
    </row>
    <row r="80" spans="1:6" ht="102">
      <c r="A80" s="186"/>
      <c r="B80" s="29" t="s">
        <v>857</v>
      </c>
      <c r="C80" s="27" t="s">
        <v>11</v>
      </c>
      <c r="D80" s="69">
        <f>(3.82*(15.7*2+9.09*2+8.3*2)+3.82*(38+16.81)+3.5*(36+0.21*5*2)+3.5*0.4*4*12+3.5*(64.45+168.1+0.8*2+0.21*2*29)-(3*6.5+3*0.66*2-3)+0.25*(6.5+3+0.66*2)*2-(3*5.3-3)+0.25*(3+5.3)*2-(2.8*1.6-3)-(2.5*4.5-3)*5+0.25*(2.5+4.5)*2*5-(2.5*3.05-3)+0.25*(2.5+3.05)*2-(2.5*2.05-3)+0.25*(2.5*2.05)*2*3)*1.01</f>
        <v>1494.3649930000004</v>
      </c>
      <c r="E80" s="40"/>
      <c r="F80" s="28"/>
    </row>
    <row r="81" spans="1:6" ht="102">
      <c r="A81" s="186"/>
      <c r="B81" s="29" t="s">
        <v>858</v>
      </c>
      <c r="C81" s="76" t="s">
        <v>11</v>
      </c>
      <c r="D81" s="85">
        <f>(3.82*(15.7*2+9.09*2+8.3*2)+3.82*(38+16.81)+3.5*(0.4*4*17)+3.5*(64.45+168.1+0.8*2+0.21*2*29)-(5.6*3+0.8*2*3-3)+0.25*(5.6+3+0.8*2)*2-(5.6*3-3)+0.25*(5.6+3)*2-(2.8*1.6-3)-(2.5*4.05-3)*5+0.25*(2.5+4.05)*2*5-(2.5*2-3)*3+0.25*(2.5*2.05)*2*3-(2.5*3.05-3)+0.25*(2.5+3.05)*2*1)*1.01</f>
        <v>1389.4007430000001</v>
      </c>
      <c r="E81" s="90"/>
      <c r="F81" s="91"/>
    </row>
    <row r="82" spans="1:6" ht="12.75">
      <c r="A82" s="186"/>
      <c r="B82" s="29"/>
      <c r="C82" s="27" t="s">
        <v>175</v>
      </c>
      <c r="D82" s="69">
        <f>SUM(D78:D81)</f>
        <v>7159.486606000001</v>
      </c>
      <c r="E82" s="40"/>
      <c r="F82" s="28"/>
    </row>
    <row r="83" spans="1:6" ht="12.75">
      <c r="A83" s="186"/>
      <c r="B83" s="29"/>
      <c r="C83" s="65"/>
      <c r="D83" s="80"/>
      <c r="E83" s="30"/>
      <c r="F83" s="30"/>
    </row>
    <row r="84" spans="1:6" ht="12.75">
      <c r="A84" s="186"/>
      <c r="B84" s="210" t="s">
        <v>302</v>
      </c>
      <c r="C84" s="65"/>
      <c r="D84" s="80"/>
      <c r="E84" s="30"/>
      <c r="F84" s="30"/>
    </row>
    <row r="85" spans="1:6" ht="89.25">
      <c r="A85" s="186"/>
      <c r="B85" s="44" t="s">
        <v>859</v>
      </c>
      <c r="C85" s="27" t="s">
        <v>11</v>
      </c>
      <c r="D85" s="41">
        <f>(3.87*26-(1.45*2.15-3)+8.46+9.4+3.55*1.4+5.3+3.97*(8.4+53-2.5+12*2+12.15+6.8+13.3+24.15+0.5*4)+2.57*7.5+3.45*82.65-(1.6*2.15-3)*4-(2*4-3)+0.15*(2+4)*2-(13-3)+0.15*(2.5*2+5.6+2.8)-(5.6*2.15-3)+(5.6+2.15)*2*0.15-(5.6*0.85-3)*2+0.15*(5.6+0.85)*2*2)*1.01+18.8*4.05*1.01</f>
        <v>1061.3443600000003</v>
      </c>
      <c r="E85" s="40"/>
      <c r="F85" s="28"/>
    </row>
    <row r="86" spans="1:6" ht="102">
      <c r="A86" s="186"/>
      <c r="B86" s="29" t="s">
        <v>860</v>
      </c>
      <c r="C86" s="27" t="s">
        <v>11</v>
      </c>
      <c r="D86" s="69">
        <f>(4.92*(157.05+49.6+11.4*2+0.25*4+27.7+0.5*4*9)-(5.6*4-3)+0.15*(5.6+4*2)-(5.45*4-3)*2+0.15*(5.45+4*2)*2-(5.55*4-3)+0.15*(5.55+4*2)*2-(4.13*4)-3+0.15*(4.13+4*2)-(1.5*3-3)-(1*3.93-3)*2-(3.05*2.5-3)-(2.1*2.5-3)+166*2+12.05*(9.15+4.82)+1.85+(6.85+5.35+4.1+3.45)*2)*1.01+18.8*2*5.03*1.01</f>
        <v>2015.4337900000003</v>
      </c>
      <c r="E86" s="40"/>
      <c r="F86" s="28"/>
    </row>
    <row r="87" spans="1:6" ht="89.25">
      <c r="A87" s="186"/>
      <c r="B87" s="29" t="s">
        <v>861</v>
      </c>
      <c r="C87" s="27" t="s">
        <v>11</v>
      </c>
      <c r="D87" s="69">
        <f>(3.82*(144+0.21*2*12+2.75*2+3.05*4+16.4+11.68+5.84+10.61+10.63+19.2)+3.82*(5.6*5+2.6*3+8.8*3.25)-(5.6*3.13-3)*5+0.2*(5.6+3.13)*2-(2.6*3.13-3)*3+0.2*(2.6+3.13)*2-(8.8*3.13-3)+0.2*(8.8+3.13)*2-(3.25*3.13-3)+0.2*(3.25+3.13)*2-(3.05*2.5-3)*4-(5.14-3)*2+(1.7*2+3*2)*2)*1.01+18.8*2*3.97*1.01</f>
        <v>1217.6958949999998</v>
      </c>
      <c r="E87" s="40"/>
      <c r="F87" s="28"/>
    </row>
    <row r="88" spans="1:6" ht="89.25">
      <c r="A88" s="186"/>
      <c r="B88" s="29" t="s">
        <v>862</v>
      </c>
      <c r="C88" s="76" t="s">
        <v>11</v>
      </c>
      <c r="D88" s="85">
        <f>(3.82*(132+0.21*2*16+2.75*2+3.05*4+16.4+11.68+5.84+10.61+10.63+19.2)+3.82*(5.6*5+2.6*3+8.8+3.25)-(5.6*3.13-3)*5+0.2*(5.6+3.13)*2-(2.6*3.13-3)*3+0.2*(2.6+3.13)*2-(8.8*3.13-3)+0.2*(8.8+3.13)*2-(3.25*3.13-3)+0.2*(3.25+3.13)*2-(3.05*2.5-3)*4-(5.14-3)*3+(1.7*2+3*2)*2)*1.01+18.8*2*3.82</f>
        <v>1104.731941</v>
      </c>
      <c r="E88" s="90"/>
      <c r="F88" s="91"/>
    </row>
    <row r="89" spans="1:6" ht="12.75">
      <c r="A89" s="186"/>
      <c r="B89" s="29"/>
      <c r="C89" s="27" t="s">
        <v>175</v>
      </c>
      <c r="D89" s="69">
        <f>SUM(D85:D88)</f>
        <v>5399.205986000001</v>
      </c>
      <c r="E89" s="87"/>
      <c r="F89" s="88"/>
    </row>
    <row r="90" spans="1:6" ht="12.75">
      <c r="A90" s="186"/>
      <c r="B90" s="29"/>
      <c r="C90" s="65"/>
      <c r="D90" s="80"/>
      <c r="E90" s="30"/>
      <c r="F90" s="30"/>
    </row>
    <row r="91" spans="1:6" ht="186.75" customHeight="1">
      <c r="A91" s="186">
        <f>A69+1</f>
        <v>105</v>
      </c>
      <c r="B91" s="79" t="s">
        <v>26</v>
      </c>
      <c r="C91" s="65"/>
      <c r="D91" s="80"/>
      <c r="E91" s="30"/>
      <c r="F91" s="30"/>
    </row>
    <row r="92" spans="1:6" ht="12.75">
      <c r="A92" s="73" t="s">
        <v>19</v>
      </c>
      <c r="B92" s="67" t="s">
        <v>287</v>
      </c>
      <c r="C92" s="65"/>
      <c r="D92" s="80"/>
      <c r="E92" s="30"/>
      <c r="F92" s="30"/>
    </row>
    <row r="93" spans="1:6" ht="25.5">
      <c r="A93" s="73"/>
      <c r="B93" s="57" t="s">
        <v>863</v>
      </c>
      <c r="C93" s="76" t="s">
        <v>11</v>
      </c>
      <c r="D93" s="85">
        <f>(3.82*(0.31+0.5)*2)*1.01</f>
        <v>6.250284000000001</v>
      </c>
      <c r="E93" s="77"/>
      <c r="F93" s="77"/>
    </row>
    <row r="94" spans="1:6" ht="12.75">
      <c r="A94" s="186"/>
      <c r="B94" s="29"/>
      <c r="C94" s="27" t="s">
        <v>11</v>
      </c>
      <c r="D94" s="69">
        <f>SUM(D93:D93)</f>
        <v>6.250284000000001</v>
      </c>
      <c r="E94" s="40"/>
      <c r="F94" s="28"/>
    </row>
    <row r="95" spans="1:6" ht="12.75">
      <c r="A95" s="186"/>
      <c r="B95" s="29"/>
      <c r="C95" s="27"/>
      <c r="D95" s="69"/>
      <c r="E95" s="40"/>
      <c r="F95" s="28"/>
    </row>
    <row r="96" spans="1:6" ht="12.75">
      <c r="A96" s="186"/>
      <c r="B96" s="67" t="s">
        <v>156</v>
      </c>
      <c r="C96" s="27"/>
      <c r="D96" s="69"/>
      <c r="E96" s="40"/>
      <c r="F96" s="28"/>
    </row>
    <row r="97" spans="1:6" ht="14.25">
      <c r="A97" s="73"/>
      <c r="B97" s="70" t="s">
        <v>864</v>
      </c>
      <c r="C97" s="27" t="s">
        <v>11</v>
      </c>
      <c r="D97" s="78">
        <f>(3.82*36-1.6*2.15)*1.01</f>
        <v>135.42079999999999</v>
      </c>
      <c r="E97" s="40"/>
      <c r="F97" s="28"/>
    </row>
    <row r="98" spans="1:6" ht="12.75">
      <c r="A98" s="186"/>
      <c r="B98" s="29"/>
      <c r="C98" s="27"/>
      <c r="D98" s="69"/>
      <c r="E98" s="40"/>
      <c r="F98" s="28"/>
    </row>
    <row r="99" spans="1:6" ht="102">
      <c r="A99" s="186">
        <f>A91+1</f>
        <v>106</v>
      </c>
      <c r="B99" s="79" t="s">
        <v>507</v>
      </c>
      <c r="C99" s="65"/>
      <c r="D99" s="80"/>
      <c r="E99" s="30"/>
      <c r="F99" s="30"/>
    </row>
    <row r="100" spans="1:6" ht="89.25">
      <c r="A100" s="186"/>
      <c r="B100" s="79" t="s">
        <v>508</v>
      </c>
      <c r="C100" s="65"/>
      <c r="D100" s="80"/>
      <c r="E100" s="30"/>
      <c r="F100" s="30"/>
    </row>
    <row r="101" spans="1:6" ht="12.75">
      <c r="A101" s="186"/>
      <c r="C101" s="65"/>
      <c r="D101" s="80"/>
      <c r="E101" s="30"/>
      <c r="F101" s="30"/>
    </row>
    <row r="102" spans="1:6" ht="12.75">
      <c r="A102" s="186"/>
      <c r="B102" s="67" t="s">
        <v>287</v>
      </c>
      <c r="C102" s="27" t="s">
        <v>11</v>
      </c>
      <c r="D102" s="69">
        <f>(5.5+6+4.5+4.2+1.4*(2.6+2.9+2.8+4.2+4.4)+1.4+1.3+1+0.9+0.8*2)*1.01</f>
        <v>50.560599999999994</v>
      </c>
      <c r="E102" s="40"/>
      <c r="F102" s="28"/>
    </row>
    <row r="103" spans="1:4" ht="25.5">
      <c r="A103" s="186"/>
      <c r="B103" s="304" t="s">
        <v>865</v>
      </c>
      <c r="C103" s="2"/>
      <c r="D103" s="191"/>
    </row>
    <row r="104" spans="1:6" ht="12.75">
      <c r="A104" s="186"/>
      <c r="B104" s="187" t="s">
        <v>157</v>
      </c>
      <c r="C104" s="27" t="s">
        <v>11</v>
      </c>
      <c r="D104" s="69">
        <f>(2.55*(1.4*3+1.22+0.92*2+1.7+1.2+1.6)+(1.18+0.33)*(2.7+3.02+3.32+3.43*2+3.7+3.12+2.78+3.05)+2.55*(1.4+0.92+1.7*2+1.21*2+1.28)+(1.18+0.33)*(3+3.45+3.73+2.75+3.02+2.68))*1.01</f>
        <v>126.503308</v>
      </c>
      <c r="E104" s="40"/>
      <c r="F104" s="28"/>
    </row>
    <row r="105" spans="1:6" ht="51">
      <c r="A105" s="186"/>
      <c r="B105" s="304" t="s">
        <v>866</v>
      </c>
      <c r="C105" s="27"/>
      <c r="D105" s="80"/>
      <c r="E105" s="28"/>
      <c r="F105" s="28"/>
    </row>
    <row r="106" spans="1:6" ht="12.75">
      <c r="A106" s="186"/>
      <c r="B106" s="156" t="s">
        <v>338</v>
      </c>
      <c r="C106" s="27" t="s">
        <v>11</v>
      </c>
      <c r="D106" s="69">
        <f>((1.31*2+1.7+2*2+1.61)*3.4*2+3.4*(2.04+11.5+1.7)+(2.5+2.8+3)*1.6+(3.5+3.9+3.45+3.4+2.75+2.75)*1.6*2+0.25*(2.5+2.8+3)+0.25*(3.5+3.9+3.45+3.4+2.75+2.95)*2)*1.01</f>
        <v>209.94869999999997</v>
      </c>
      <c r="E106" s="40"/>
      <c r="F106" s="28"/>
    </row>
    <row r="107" spans="1:6" ht="51">
      <c r="A107" s="186"/>
      <c r="B107" s="305" t="s">
        <v>867</v>
      </c>
      <c r="C107" s="27"/>
      <c r="D107" s="80"/>
      <c r="E107" s="28"/>
      <c r="F107" s="28"/>
    </row>
    <row r="108" spans="1:6" ht="12.75">
      <c r="A108" s="186"/>
      <c r="B108" s="39"/>
      <c r="C108" s="27"/>
      <c r="D108" s="80"/>
      <c r="E108" s="28"/>
      <c r="F108" s="28"/>
    </row>
    <row r="109" spans="1:4" ht="153">
      <c r="A109" s="186">
        <f>A99+1</f>
        <v>107</v>
      </c>
      <c r="B109" s="162" t="s">
        <v>1288</v>
      </c>
      <c r="C109" s="27"/>
      <c r="D109" s="80"/>
    </row>
    <row r="110" spans="1:4" ht="12.75">
      <c r="A110" s="186"/>
      <c r="B110" s="184" t="s">
        <v>90</v>
      </c>
      <c r="C110" s="27"/>
      <c r="D110" s="80"/>
    </row>
    <row r="111" spans="1:6" ht="12.75">
      <c r="A111" s="73"/>
      <c r="B111" s="67" t="s">
        <v>286</v>
      </c>
      <c r="C111" s="65"/>
      <c r="D111" s="80"/>
      <c r="E111" s="30"/>
      <c r="F111" s="30"/>
    </row>
    <row r="112" spans="1:6" ht="12.75">
      <c r="A112" s="73"/>
      <c r="B112" s="57" t="s">
        <v>868</v>
      </c>
      <c r="C112" s="27" t="s">
        <v>11</v>
      </c>
      <c r="D112" s="69">
        <f>(4.5+5.1)*1.01</f>
        <v>9.696</v>
      </c>
      <c r="E112" s="30"/>
      <c r="F112" s="30"/>
    </row>
    <row r="113" spans="1:6" ht="12.75">
      <c r="A113" s="73"/>
      <c r="B113" s="70" t="s">
        <v>869</v>
      </c>
      <c r="C113" s="27" t="s">
        <v>11</v>
      </c>
      <c r="D113" s="69">
        <f>(4.85+4.9+14.15+14.25)*1.01</f>
        <v>38.5315</v>
      </c>
      <c r="E113" s="30"/>
      <c r="F113" s="30"/>
    </row>
    <row r="114" spans="1:6" ht="12.75">
      <c r="A114" s="73"/>
      <c r="B114" s="57" t="s">
        <v>870</v>
      </c>
      <c r="C114" s="76" t="s">
        <v>11</v>
      </c>
      <c r="D114" s="85">
        <f>(4.85+4.85+481.8)*1.01</f>
        <v>496.415</v>
      </c>
      <c r="E114" s="77"/>
      <c r="F114" s="77"/>
    </row>
    <row r="115" spans="1:6" ht="12.75">
      <c r="A115" s="186"/>
      <c r="C115" s="27" t="s">
        <v>11</v>
      </c>
      <c r="D115" s="69">
        <f>SUM(D112:D114)</f>
        <v>544.6425</v>
      </c>
      <c r="E115" s="40"/>
      <c r="F115" s="28"/>
    </row>
    <row r="116" spans="1:6" ht="12.75">
      <c r="A116" s="73"/>
      <c r="B116" s="29"/>
      <c r="C116" s="27"/>
      <c r="D116" s="80"/>
      <c r="E116" s="30"/>
      <c r="F116" s="30"/>
    </row>
    <row r="117" spans="1:6" ht="12.75">
      <c r="A117" s="73"/>
      <c r="B117" s="187" t="s">
        <v>156</v>
      </c>
      <c r="C117" s="27"/>
      <c r="D117" s="80"/>
      <c r="E117" s="30"/>
      <c r="F117" s="30"/>
    </row>
    <row r="118" spans="1:6" ht="12.75">
      <c r="A118" s="73"/>
      <c r="B118" s="81" t="s">
        <v>871</v>
      </c>
      <c r="C118" s="27" t="s">
        <v>11</v>
      </c>
      <c r="D118" s="69">
        <f>367.43*1.01</f>
        <v>371.1043</v>
      </c>
      <c r="E118" s="30"/>
      <c r="F118" s="30"/>
    </row>
    <row r="119" spans="1:6" ht="25.5">
      <c r="A119" s="73"/>
      <c r="B119" s="57" t="s">
        <v>872</v>
      </c>
      <c r="C119" s="27" t="s">
        <v>11</v>
      </c>
      <c r="D119" s="69">
        <f>(8.23+5.08*2+5.11+4.04+61.99+5.41+17.04)*1.01</f>
        <v>113.09979999999999</v>
      </c>
      <c r="E119" s="30"/>
      <c r="F119" s="30"/>
    </row>
    <row r="120" spans="1:6" ht="25.5">
      <c r="A120" s="73"/>
      <c r="B120" s="57" t="s">
        <v>873</v>
      </c>
      <c r="C120" s="27" t="s">
        <v>11</v>
      </c>
      <c r="D120" s="69">
        <f>(227.08+4.43+18.77+26.28+12.24+9.14+9.83)*1.01</f>
        <v>310.84770000000003</v>
      </c>
      <c r="E120" s="30"/>
      <c r="F120" s="30"/>
    </row>
    <row r="121" spans="1:6" ht="12.75">
      <c r="A121" s="73"/>
      <c r="B121" s="57" t="s">
        <v>874</v>
      </c>
      <c r="C121" s="76" t="s">
        <v>11</v>
      </c>
      <c r="D121" s="85">
        <f>19.27*1.01</f>
        <v>19.462699999999998</v>
      </c>
      <c r="E121" s="77"/>
      <c r="F121" s="77"/>
    </row>
    <row r="122" spans="1:6" ht="12.75">
      <c r="A122" s="73"/>
      <c r="B122" s="29"/>
      <c r="C122" s="27" t="s">
        <v>11</v>
      </c>
      <c r="D122" s="69">
        <f>SUM(D118:D121)</f>
        <v>814.5145000000001</v>
      </c>
      <c r="E122" s="40"/>
      <c r="F122" s="28"/>
    </row>
    <row r="123" spans="1:6" ht="12.75">
      <c r="A123" s="73"/>
      <c r="B123" s="29"/>
      <c r="C123" s="27"/>
      <c r="D123" s="69"/>
      <c r="E123" s="40"/>
      <c r="F123" s="28"/>
    </row>
    <row r="124" spans="1:6" ht="12.75">
      <c r="A124" s="73"/>
      <c r="B124" s="210" t="s">
        <v>302</v>
      </c>
      <c r="C124" s="27"/>
      <c r="D124" s="69"/>
      <c r="E124" s="40"/>
      <c r="F124" s="28"/>
    </row>
    <row r="125" spans="1:6" ht="12.75">
      <c r="A125" s="73"/>
      <c r="B125" s="29" t="s">
        <v>875</v>
      </c>
      <c r="C125" s="27" t="s">
        <v>11</v>
      </c>
      <c r="D125" s="69">
        <f>156.12-11.73-129.54</f>
        <v>14.850000000000023</v>
      </c>
      <c r="E125" s="40"/>
      <c r="F125" s="28"/>
    </row>
    <row r="126" spans="1:6" ht="12.75">
      <c r="A126" s="73"/>
      <c r="B126" s="57" t="s">
        <v>876</v>
      </c>
      <c r="C126" s="27" t="s">
        <v>11</v>
      </c>
      <c r="D126" s="69">
        <f>(8.03+8+3.61)*1.01</f>
        <v>19.8364</v>
      </c>
      <c r="E126" s="40"/>
      <c r="F126" s="28"/>
    </row>
    <row r="127" spans="1:6" ht="12.75">
      <c r="A127" s="73"/>
      <c r="B127" s="57" t="s">
        <v>877</v>
      </c>
      <c r="C127" s="27" t="s">
        <v>11</v>
      </c>
      <c r="D127" s="69">
        <f>6.98*2*1.01</f>
        <v>14.0996</v>
      </c>
      <c r="E127" s="40"/>
      <c r="F127" s="28"/>
    </row>
    <row r="128" spans="1:6" ht="12.75">
      <c r="A128" s="73"/>
      <c r="B128" s="57" t="s">
        <v>878</v>
      </c>
      <c r="C128" s="76" t="s">
        <v>11</v>
      </c>
      <c r="D128" s="85">
        <f>6.98*2*1.01</f>
        <v>14.0996</v>
      </c>
      <c r="E128" s="90"/>
      <c r="F128" s="91"/>
    </row>
    <row r="129" spans="1:6" ht="12.75">
      <c r="A129" s="73"/>
      <c r="B129" s="57"/>
      <c r="C129" s="27" t="s">
        <v>11</v>
      </c>
      <c r="D129" s="69">
        <f>SUM(D125:D128)</f>
        <v>62.885600000000025</v>
      </c>
      <c r="E129" s="40"/>
      <c r="F129" s="28"/>
    </row>
    <row r="130" spans="1:6" ht="12.75">
      <c r="A130" s="73"/>
      <c r="B130" s="29"/>
      <c r="C130" s="27"/>
      <c r="D130" s="80"/>
      <c r="E130" s="30"/>
      <c r="F130" s="30"/>
    </row>
    <row r="131" spans="1:6" ht="189.75" customHeight="1">
      <c r="A131" s="73">
        <f>A109+1</f>
        <v>108</v>
      </c>
      <c r="B131" s="79" t="s">
        <v>1289</v>
      </c>
      <c r="C131" s="27"/>
      <c r="D131" s="80"/>
      <c r="E131" s="30"/>
      <c r="F131" s="30"/>
    </row>
    <row r="132" spans="1:6" ht="12.75">
      <c r="A132" s="73"/>
      <c r="B132" s="210" t="s">
        <v>338</v>
      </c>
      <c r="C132" s="27"/>
      <c r="D132" s="80"/>
      <c r="E132" s="30"/>
      <c r="F132" s="30"/>
    </row>
    <row r="133" spans="1:6" ht="12.75">
      <c r="A133" s="73"/>
      <c r="B133" s="2" t="s">
        <v>879</v>
      </c>
      <c r="C133" s="27" t="s">
        <v>11</v>
      </c>
      <c r="D133" s="69">
        <v>129.54</v>
      </c>
      <c r="E133" s="40"/>
      <c r="F133" s="28"/>
    </row>
    <row r="134" spans="1:6" ht="12.75">
      <c r="A134" s="73"/>
      <c r="B134" s="29"/>
      <c r="C134" s="27"/>
      <c r="D134" s="80"/>
      <c r="E134" s="30"/>
      <c r="F134" s="30"/>
    </row>
    <row r="135" spans="1:6" ht="76.5">
      <c r="A135" s="186">
        <f>A131+1</f>
        <v>109</v>
      </c>
      <c r="B135" s="79" t="s">
        <v>1488</v>
      </c>
      <c r="C135" s="27"/>
      <c r="D135" s="80"/>
      <c r="E135" s="28"/>
      <c r="F135" s="28"/>
    </row>
    <row r="136" spans="1:4" ht="12.75">
      <c r="A136" s="73"/>
      <c r="D136" s="191"/>
    </row>
    <row r="137" spans="1:6" ht="12.75">
      <c r="A137" s="54" t="s">
        <v>39</v>
      </c>
      <c r="B137" s="47" t="s">
        <v>54</v>
      </c>
      <c r="C137" s="27"/>
      <c r="D137" s="191"/>
      <c r="E137" s="40"/>
      <c r="F137" s="28"/>
    </row>
    <row r="138" spans="1:6" ht="12.75">
      <c r="A138" s="54"/>
      <c r="B138" s="67" t="s">
        <v>286</v>
      </c>
      <c r="C138" s="27"/>
      <c r="D138" s="191"/>
      <c r="E138" s="40"/>
      <c r="F138" s="28"/>
    </row>
    <row r="139" spans="1:6" ht="12.75">
      <c r="A139" s="54"/>
      <c r="B139" s="47" t="s">
        <v>880</v>
      </c>
      <c r="C139" s="27" t="s">
        <v>11</v>
      </c>
      <c r="D139" s="192">
        <f>(20.43+23.68+15.12+32.33)*1.01</f>
        <v>92.4756</v>
      </c>
      <c r="E139" s="40"/>
      <c r="F139" s="28"/>
    </row>
    <row r="140" spans="1:6" ht="12.75">
      <c r="A140" s="54"/>
      <c r="B140" s="47"/>
      <c r="C140" s="8"/>
      <c r="D140" s="191"/>
      <c r="E140" s="40"/>
      <c r="F140" s="28"/>
    </row>
    <row r="141" spans="1:6" ht="25.5">
      <c r="A141" s="54" t="s">
        <v>40</v>
      </c>
      <c r="B141" s="47" t="s">
        <v>162</v>
      </c>
      <c r="C141" s="27"/>
      <c r="D141" s="191"/>
      <c r="E141" s="40"/>
      <c r="F141" s="28"/>
    </row>
    <row r="142" spans="1:6" ht="12.75">
      <c r="A142" s="54"/>
      <c r="B142" s="67" t="s">
        <v>286</v>
      </c>
      <c r="C142" s="27"/>
      <c r="D142" s="191"/>
      <c r="E142" s="40"/>
      <c r="F142" s="28"/>
    </row>
    <row r="143" spans="1:6" ht="12.75">
      <c r="A143" s="55"/>
      <c r="B143" s="47" t="s">
        <v>881</v>
      </c>
      <c r="C143" s="27" t="s">
        <v>11</v>
      </c>
      <c r="D143" s="192">
        <f>(19.47+3.55)*1.01</f>
        <v>23.2502</v>
      </c>
      <c r="E143" s="40"/>
      <c r="F143" s="28"/>
    </row>
    <row r="144" spans="1:6" ht="12.75">
      <c r="A144" s="55"/>
      <c r="B144" s="47"/>
      <c r="C144" s="27"/>
      <c r="D144" s="191"/>
      <c r="E144" s="40"/>
      <c r="F144" s="28"/>
    </row>
    <row r="145" spans="1:6" ht="12.75">
      <c r="A145" s="55"/>
      <c r="B145" s="188" t="s">
        <v>156</v>
      </c>
      <c r="C145" s="27"/>
      <c r="D145" s="191"/>
      <c r="E145" s="40"/>
      <c r="F145" s="28"/>
    </row>
    <row r="146" spans="1:6" ht="12.75">
      <c r="A146" s="55"/>
      <c r="B146" s="47" t="s">
        <v>882</v>
      </c>
      <c r="C146" s="27" t="s">
        <v>11</v>
      </c>
      <c r="D146" s="41">
        <f>10.36*1.01</f>
        <v>10.4636</v>
      </c>
      <c r="E146" s="40"/>
      <c r="F146" s="28"/>
    </row>
    <row r="147" spans="1:6" ht="12.75">
      <c r="A147" s="54"/>
      <c r="B147" s="47" t="s">
        <v>883</v>
      </c>
      <c r="C147" s="76" t="s">
        <v>11</v>
      </c>
      <c r="D147" s="71">
        <f>16.47*1.01</f>
        <v>16.6347</v>
      </c>
      <c r="E147" s="90"/>
      <c r="F147" s="91"/>
    </row>
    <row r="148" spans="1:6" ht="12.75">
      <c r="A148" s="54"/>
      <c r="B148" s="47"/>
      <c r="C148" s="27" t="s">
        <v>11</v>
      </c>
      <c r="D148" s="192">
        <f>SUM(D146:D147)</f>
        <v>27.0983</v>
      </c>
      <c r="E148" s="40"/>
      <c r="F148" s="28"/>
    </row>
    <row r="149" spans="1:6" ht="12.75">
      <c r="A149" s="54"/>
      <c r="B149" s="47"/>
      <c r="C149" s="27"/>
      <c r="D149" s="192"/>
      <c r="E149" s="40"/>
      <c r="F149" s="28"/>
    </row>
    <row r="150" spans="1:6" ht="12.75">
      <c r="A150" s="54"/>
      <c r="B150" s="188" t="s">
        <v>302</v>
      </c>
      <c r="C150" s="27"/>
      <c r="D150" s="191"/>
      <c r="E150" s="40"/>
      <c r="F150" s="28"/>
    </row>
    <row r="151" spans="1:6" ht="12.75">
      <c r="A151" s="54"/>
      <c r="B151" s="47" t="s">
        <v>884</v>
      </c>
      <c r="C151" s="27" t="s">
        <v>11</v>
      </c>
      <c r="D151" s="192">
        <v>3.65</v>
      </c>
      <c r="E151" s="40"/>
      <c r="F151" s="28"/>
    </row>
    <row r="152" spans="1:6" ht="12.75">
      <c r="A152" s="54"/>
      <c r="B152" s="47" t="s">
        <v>885</v>
      </c>
      <c r="C152" s="27" t="s">
        <v>11</v>
      </c>
      <c r="D152" s="69">
        <v>3.25</v>
      </c>
      <c r="E152" s="40"/>
      <c r="F152" s="28"/>
    </row>
    <row r="153" spans="1:6" ht="12.75">
      <c r="A153" s="54"/>
      <c r="B153" s="47" t="s">
        <v>886</v>
      </c>
      <c r="C153" s="76" t="s">
        <v>11</v>
      </c>
      <c r="D153" s="85">
        <v>3.87</v>
      </c>
      <c r="E153" s="90"/>
      <c r="F153" s="91"/>
    </row>
    <row r="154" spans="1:6" ht="12.75">
      <c r="A154" s="54"/>
      <c r="B154" s="47"/>
      <c r="C154" s="86" t="s">
        <v>11</v>
      </c>
      <c r="D154" s="192">
        <f>SUM(D151:D153)</f>
        <v>10.77</v>
      </c>
      <c r="E154" s="40"/>
      <c r="F154" s="28"/>
    </row>
    <row r="155" spans="1:6" ht="12.75">
      <c r="A155" s="54"/>
      <c r="B155" s="47"/>
      <c r="C155" s="27"/>
      <c r="D155" s="192"/>
      <c r="E155" s="40"/>
      <c r="F155" s="28"/>
    </row>
    <row r="156" spans="1:6" ht="25.5">
      <c r="A156" s="54" t="s">
        <v>41</v>
      </c>
      <c r="B156" s="47" t="s">
        <v>161</v>
      </c>
      <c r="C156" s="27"/>
      <c r="D156" s="191"/>
      <c r="E156" s="40"/>
      <c r="F156" s="28"/>
    </row>
    <row r="157" spans="1:6" ht="12.75">
      <c r="A157" s="54"/>
      <c r="B157" s="67" t="s">
        <v>286</v>
      </c>
      <c r="C157" s="27"/>
      <c r="D157" s="191"/>
      <c r="E157" s="40"/>
      <c r="F157" s="28"/>
    </row>
    <row r="158" spans="1:6" ht="12.75">
      <c r="A158" s="55"/>
      <c r="B158" s="47" t="s">
        <v>887</v>
      </c>
      <c r="C158" s="27" t="s">
        <v>11</v>
      </c>
      <c r="D158" s="192">
        <f>(10.39+10.53)*1.01</f>
        <v>21.1292</v>
      </c>
      <c r="E158" s="40"/>
      <c r="F158" s="28"/>
    </row>
    <row r="159" spans="1:6" ht="12.75">
      <c r="A159" s="55"/>
      <c r="B159" s="47"/>
      <c r="C159" s="8"/>
      <c r="D159" s="191"/>
      <c r="E159" s="40"/>
      <c r="F159" s="28"/>
    </row>
    <row r="160" spans="1:6" ht="12.75">
      <c r="A160" s="54"/>
      <c r="B160" s="188" t="s">
        <v>156</v>
      </c>
      <c r="C160" s="27"/>
      <c r="D160" s="191"/>
      <c r="E160" s="40"/>
      <c r="F160" s="28"/>
    </row>
    <row r="161" spans="1:6" ht="38.25">
      <c r="A161" s="54"/>
      <c r="B161" s="47" t="s">
        <v>888</v>
      </c>
      <c r="C161" s="27" t="s">
        <v>11</v>
      </c>
      <c r="D161" s="69">
        <f>(12.26+12.12+14.43+13.92+4.77+8.77+8.5+3.41+5.94)*1.01</f>
        <v>84.96119999999999</v>
      </c>
      <c r="E161" s="40"/>
      <c r="F161" s="28"/>
    </row>
    <row r="162" spans="1:6" ht="38.25">
      <c r="A162" s="54"/>
      <c r="B162" s="47" t="s">
        <v>889</v>
      </c>
      <c r="C162" s="76" t="s">
        <v>11</v>
      </c>
      <c r="D162" s="85">
        <f>(7.07+12.19+10.45+9.62+3.25+8.52+8.51+3.38+7.58)*1.01</f>
        <v>71.2757</v>
      </c>
      <c r="E162" s="90"/>
      <c r="F162" s="91"/>
    </row>
    <row r="163" spans="1:6" ht="12.75">
      <c r="A163" s="54"/>
      <c r="B163" s="47"/>
      <c r="C163" s="86" t="s">
        <v>11</v>
      </c>
      <c r="D163" s="192">
        <f>SUM(D161:D162)</f>
        <v>156.2369</v>
      </c>
      <c r="E163" s="40"/>
      <c r="F163" s="28"/>
    </row>
    <row r="164" spans="1:6" ht="12.75">
      <c r="A164" s="54"/>
      <c r="B164" s="47"/>
      <c r="C164" s="27"/>
      <c r="D164" s="192"/>
      <c r="E164" s="40"/>
      <c r="F164" s="28"/>
    </row>
    <row r="165" spans="1:6" ht="12.75">
      <c r="A165" s="54"/>
      <c r="B165" s="188" t="s">
        <v>302</v>
      </c>
      <c r="C165" s="27"/>
      <c r="D165" s="191"/>
      <c r="E165" s="40"/>
      <c r="F165" s="28"/>
    </row>
    <row r="166" spans="1:6" ht="12.75">
      <c r="A166" s="54"/>
      <c r="B166" s="47" t="s">
        <v>890</v>
      </c>
      <c r="C166" s="27" t="s">
        <v>11</v>
      </c>
      <c r="D166" s="192">
        <v>31.08</v>
      </c>
      <c r="E166" s="40"/>
      <c r="F166" s="28"/>
    </row>
    <row r="167" spans="1:6" ht="12.75">
      <c r="A167" s="54"/>
      <c r="B167" s="47" t="s">
        <v>891</v>
      </c>
      <c r="C167" s="27" t="s">
        <v>11</v>
      </c>
      <c r="D167" s="69">
        <v>31.19</v>
      </c>
      <c r="E167" s="40"/>
      <c r="F167" s="28"/>
    </row>
    <row r="168" spans="1:6" ht="12.75">
      <c r="A168" s="54"/>
      <c r="B168" s="47" t="s">
        <v>892</v>
      </c>
      <c r="C168" s="76" t="s">
        <v>11</v>
      </c>
      <c r="D168" s="85">
        <v>31.21</v>
      </c>
      <c r="E168" s="90"/>
      <c r="F168" s="91"/>
    </row>
    <row r="169" spans="1:6" ht="12.75">
      <c r="A169" s="54"/>
      <c r="B169" s="47"/>
      <c r="C169" s="86" t="s">
        <v>11</v>
      </c>
      <c r="D169" s="192">
        <f>SUM(D166:D168)</f>
        <v>93.47999999999999</v>
      </c>
      <c r="E169" s="40"/>
      <c r="F169" s="28"/>
    </row>
    <row r="170" spans="1:6" ht="12.75">
      <c r="A170" s="54"/>
      <c r="B170" s="47"/>
      <c r="C170" s="27"/>
      <c r="D170" s="192"/>
      <c r="E170" s="40"/>
      <c r="F170" s="28"/>
    </row>
    <row r="171" spans="1:6" ht="25.5">
      <c r="A171" s="54" t="s">
        <v>42</v>
      </c>
      <c r="B171" s="47" t="s">
        <v>56</v>
      </c>
      <c r="C171" s="27"/>
      <c r="D171" s="191"/>
      <c r="E171" s="40"/>
      <c r="F171" s="28"/>
    </row>
    <row r="172" spans="1:6" ht="12.75">
      <c r="A172" s="54"/>
      <c r="B172" s="67" t="s">
        <v>286</v>
      </c>
      <c r="C172" s="27"/>
      <c r="D172" s="191"/>
      <c r="E172" s="40"/>
      <c r="F172" s="28"/>
    </row>
    <row r="173" spans="1:6" ht="12.75">
      <c r="A173" s="54"/>
      <c r="B173" s="47" t="s">
        <v>893</v>
      </c>
      <c r="C173" s="27" t="s">
        <v>11</v>
      </c>
      <c r="D173" s="192">
        <f>(159.55+16.52)*1.01</f>
        <v>177.83070000000004</v>
      </c>
      <c r="E173" s="40"/>
      <c r="F173" s="28"/>
    </row>
    <row r="174" spans="1:6" ht="12.75">
      <c r="A174" s="54"/>
      <c r="B174" s="93" t="s">
        <v>894</v>
      </c>
      <c r="C174" s="27" t="s">
        <v>11</v>
      </c>
      <c r="D174" s="192">
        <f>(16.55+89.71+16.43+16.98)*1.01</f>
        <v>141.0667</v>
      </c>
      <c r="E174" s="40"/>
      <c r="F174" s="28"/>
    </row>
    <row r="175" spans="2:6" ht="12.75">
      <c r="B175" s="89" t="s">
        <v>55</v>
      </c>
      <c r="C175" s="27"/>
      <c r="D175" s="191"/>
      <c r="E175" s="40"/>
      <c r="F175" s="28"/>
    </row>
    <row r="176" spans="1:6" ht="38.25">
      <c r="A176" s="55"/>
      <c r="B176" s="47" t="s">
        <v>895</v>
      </c>
      <c r="C176" s="76" t="s">
        <v>11</v>
      </c>
      <c r="D176" s="85">
        <f>(12.35+11.51+10.72+14.06+16.19+19.58+15.22+26.3+10.32+14.16)*1.01</f>
        <v>151.9141</v>
      </c>
      <c r="E176" s="90"/>
      <c r="F176" s="91"/>
    </row>
    <row r="177" spans="1:6" ht="12.75">
      <c r="A177" s="54"/>
      <c r="B177" s="47"/>
      <c r="C177" s="86" t="s">
        <v>11</v>
      </c>
      <c r="D177" s="192">
        <f>SUM(D173:D176)</f>
        <v>470.8115</v>
      </c>
      <c r="E177" s="40"/>
      <c r="F177" s="28"/>
    </row>
    <row r="178" spans="1:6" ht="12.75">
      <c r="A178" s="54"/>
      <c r="B178" s="47"/>
      <c r="C178" s="27"/>
      <c r="D178" s="191"/>
      <c r="E178" s="40"/>
      <c r="F178" s="28"/>
    </row>
    <row r="179" spans="1:6" ht="12.75">
      <c r="A179" s="54"/>
      <c r="B179" s="188" t="s">
        <v>156</v>
      </c>
      <c r="C179" s="27"/>
      <c r="D179" s="191"/>
      <c r="E179" s="40"/>
      <c r="F179" s="28"/>
    </row>
    <row r="180" spans="1:6" ht="12.75">
      <c r="A180" s="54"/>
      <c r="B180" s="47" t="s">
        <v>899</v>
      </c>
      <c r="C180" s="27" t="s">
        <v>11</v>
      </c>
      <c r="D180" s="41">
        <f>(61.61+45.95+136.99+65.68)*1.01</f>
        <v>313.33230000000003</v>
      </c>
      <c r="E180" s="40"/>
      <c r="F180" s="28"/>
    </row>
    <row r="181" spans="1:6" ht="12.75">
      <c r="A181" s="54"/>
      <c r="B181" s="47" t="s">
        <v>900</v>
      </c>
      <c r="C181" s="76" t="s">
        <v>11</v>
      </c>
      <c r="D181" s="71">
        <f>(53.17+169.41+159.75)*1.01</f>
        <v>386.1533</v>
      </c>
      <c r="E181" s="90"/>
      <c r="F181" s="91"/>
    </row>
    <row r="182" spans="1:6" ht="12.75">
      <c r="A182" s="54"/>
      <c r="B182" s="47"/>
      <c r="C182" s="86" t="s">
        <v>11</v>
      </c>
      <c r="D182" s="192">
        <f>SUM(D178:D181)</f>
        <v>699.4856</v>
      </c>
      <c r="E182" s="40"/>
      <c r="F182" s="28"/>
    </row>
    <row r="183" spans="1:6" ht="12.75">
      <c r="A183" s="54"/>
      <c r="B183" s="47"/>
      <c r="C183" s="27"/>
      <c r="D183" s="191"/>
      <c r="E183" s="40"/>
      <c r="F183" s="28"/>
    </row>
    <row r="184" spans="1:6" ht="12.75">
      <c r="A184" s="54"/>
      <c r="B184" s="188" t="s">
        <v>302</v>
      </c>
      <c r="C184" s="27"/>
      <c r="D184" s="191"/>
      <c r="E184" s="40"/>
      <c r="F184" s="28"/>
    </row>
    <row r="185" spans="1:6" ht="12.75">
      <c r="A185" s="54"/>
      <c r="B185" s="29" t="s">
        <v>896</v>
      </c>
      <c r="C185" s="27" t="s">
        <v>11</v>
      </c>
      <c r="D185" s="69">
        <f>155.07+28.28</f>
        <v>183.35</v>
      </c>
      <c r="E185" s="30"/>
      <c r="F185" s="30"/>
    </row>
    <row r="186" spans="1:6" ht="12.75">
      <c r="A186" s="54"/>
      <c r="B186" s="29" t="s">
        <v>897</v>
      </c>
      <c r="C186" s="27" t="s">
        <v>11</v>
      </c>
      <c r="D186" s="41">
        <v>389.71</v>
      </c>
      <c r="E186" s="30"/>
      <c r="F186" s="30"/>
    </row>
    <row r="187" spans="1:6" ht="12.75">
      <c r="A187" s="54"/>
      <c r="B187" s="29" t="s">
        <v>898</v>
      </c>
      <c r="C187" s="76" t="s">
        <v>11</v>
      </c>
      <c r="D187" s="71">
        <v>252.1</v>
      </c>
      <c r="E187" s="90"/>
      <c r="F187" s="91"/>
    </row>
    <row r="188" spans="2:6" ht="12.75">
      <c r="B188" s="188"/>
      <c r="C188" s="86" t="s">
        <v>11</v>
      </c>
      <c r="D188" s="192">
        <f>SUM(D185:D187)</f>
        <v>825.16</v>
      </c>
      <c r="E188" s="40"/>
      <c r="F188" s="28"/>
    </row>
    <row r="189" spans="1:6" ht="12.75">
      <c r="A189" s="54"/>
      <c r="B189" s="47"/>
      <c r="C189" s="27"/>
      <c r="D189" s="191"/>
      <c r="E189" s="40"/>
      <c r="F189" s="28"/>
    </row>
    <row r="190" spans="1:6" ht="25.5">
      <c r="A190" s="54" t="s">
        <v>43</v>
      </c>
      <c r="B190" s="47" t="s">
        <v>408</v>
      </c>
      <c r="C190" s="27"/>
      <c r="D190" s="191"/>
      <c r="E190" s="40"/>
      <c r="F190" s="28"/>
    </row>
    <row r="191" spans="1:6" ht="12.75">
      <c r="A191" s="54"/>
      <c r="B191" s="67" t="s">
        <v>286</v>
      </c>
      <c r="C191" s="27"/>
      <c r="D191" s="191"/>
      <c r="E191" s="40"/>
      <c r="F191" s="28"/>
    </row>
    <row r="192" spans="2:6" ht="12.75">
      <c r="B192" s="47" t="s">
        <v>52</v>
      </c>
      <c r="C192" s="27" t="s">
        <v>11</v>
      </c>
      <c r="D192" s="192">
        <f>6.02*1.01</f>
        <v>6.0802</v>
      </c>
      <c r="E192" s="40"/>
      <c r="F192" s="28"/>
    </row>
    <row r="193" spans="2:6" ht="12.75">
      <c r="B193" s="47"/>
      <c r="C193" s="27"/>
      <c r="D193" s="191"/>
      <c r="E193" s="40"/>
      <c r="F193" s="28"/>
    </row>
    <row r="194" spans="2:6" ht="12.75">
      <c r="B194" s="188" t="s">
        <v>156</v>
      </c>
      <c r="C194" s="27"/>
      <c r="D194" s="191"/>
      <c r="E194" s="40"/>
      <c r="F194" s="28"/>
    </row>
    <row r="195" spans="2:6" ht="76.5">
      <c r="B195" s="47" t="s">
        <v>901</v>
      </c>
      <c r="C195" s="27" t="s">
        <v>11</v>
      </c>
      <c r="D195" s="41">
        <f>(15.91+14.3+13.34+13.82+13.66+4.43+15.15*2+8.78*2+8.73+21+18.97+26.28+12.24+19.42+20.03+9.14+9.74+9.57+9.48+10.6+13.11+13.91+9.83+25.36+13.67+42.39+34.08+32.21+20.05+20.25*2+20.3+20.29+15.37+15.12+13.88+10.74+12.13+5.97)*1.01</f>
        <v>664.0043000000001</v>
      </c>
      <c r="E195" s="40"/>
      <c r="F195" s="28"/>
    </row>
    <row r="196" spans="2:6" ht="76.5">
      <c r="B196" s="47" t="s">
        <v>902</v>
      </c>
      <c r="C196" s="76" t="s">
        <v>11</v>
      </c>
      <c r="D196" s="4">
        <f>12.75+9.96+11.11*2+43.17+20.12+16.9+15.1+7.55+14.06+12.57+21.84*3+9.4+23.6+12.61+8.09+21.07+10.42+18.72+10.11+9.95+17.81+21.46+27.51+59.51+21.31+21.05+29.69+51.37+40.72+62.46+30.12+37.84+39.84+13.45+20.81</f>
        <v>858.8400000000001</v>
      </c>
      <c r="E196" s="90"/>
      <c r="F196" s="91"/>
    </row>
    <row r="197" spans="2:6" ht="12.75">
      <c r="B197" s="47"/>
      <c r="C197" s="86" t="s">
        <v>11</v>
      </c>
      <c r="D197" s="192">
        <f>SUM(D193:D196)</f>
        <v>1522.8443000000002</v>
      </c>
      <c r="E197" s="40"/>
      <c r="F197" s="28"/>
    </row>
    <row r="198" spans="2:6" ht="12.75">
      <c r="B198" s="47"/>
      <c r="C198" s="8"/>
      <c r="D198" s="191"/>
      <c r="E198" s="40"/>
      <c r="F198" s="28"/>
    </row>
    <row r="199" spans="2:6" ht="12.75">
      <c r="B199" s="188" t="s">
        <v>302</v>
      </c>
      <c r="C199" s="27"/>
      <c r="D199" s="191"/>
      <c r="E199" s="40"/>
      <c r="F199" s="28"/>
    </row>
    <row r="200" spans="2:6" ht="12.75">
      <c r="B200" s="29" t="s">
        <v>903</v>
      </c>
      <c r="C200" s="27" t="s">
        <v>11</v>
      </c>
      <c r="D200" s="69">
        <v>47.28</v>
      </c>
      <c r="E200" s="40"/>
      <c r="F200" s="28"/>
    </row>
    <row r="201" spans="2:6" ht="12.75">
      <c r="B201" s="188"/>
      <c r="C201" s="8"/>
      <c r="D201" s="191"/>
      <c r="E201" s="40"/>
      <c r="F201" s="28"/>
    </row>
    <row r="202" spans="2:6" ht="12.75">
      <c r="B202" s="188" t="s">
        <v>402</v>
      </c>
      <c r="C202" s="8"/>
      <c r="D202" s="191"/>
      <c r="E202" s="40"/>
      <c r="F202" s="28"/>
    </row>
    <row r="203" spans="2:6" ht="12.75">
      <c r="B203" s="29" t="s">
        <v>409</v>
      </c>
      <c r="C203" s="27"/>
      <c r="D203" s="80"/>
      <c r="E203" s="40"/>
      <c r="F203" s="28"/>
    </row>
    <row r="204" spans="2:6" ht="38.25">
      <c r="B204" s="162" t="s">
        <v>404</v>
      </c>
      <c r="C204" s="27"/>
      <c r="D204" s="80"/>
      <c r="E204" s="40"/>
      <c r="F204" s="28"/>
    </row>
    <row r="205" spans="2:6" ht="38.25">
      <c r="B205" s="306" t="s">
        <v>904</v>
      </c>
      <c r="C205" s="27" t="s">
        <v>11</v>
      </c>
      <c r="D205" s="191">
        <v>165.44</v>
      </c>
      <c r="E205" s="40"/>
      <c r="F205" s="28"/>
    </row>
    <row r="206" spans="2:6" ht="12.75">
      <c r="B206" s="47"/>
      <c r="C206" s="8"/>
      <c r="D206" s="191"/>
      <c r="E206" s="40"/>
      <c r="F206" s="28"/>
    </row>
    <row r="207" spans="1:6" ht="12.75">
      <c r="A207" s="54" t="s">
        <v>45</v>
      </c>
      <c r="B207" s="47" t="s">
        <v>163</v>
      </c>
      <c r="C207" s="27"/>
      <c r="D207" s="191"/>
      <c r="E207" s="40"/>
      <c r="F207" s="28"/>
    </row>
    <row r="208" spans="1:6" ht="12.75">
      <c r="A208" s="54"/>
      <c r="B208" s="67" t="s">
        <v>286</v>
      </c>
      <c r="C208" s="27"/>
      <c r="D208" s="191"/>
      <c r="E208" s="40"/>
      <c r="F208" s="28"/>
    </row>
    <row r="209" spans="2:6" ht="12.75">
      <c r="B209" s="47" t="s">
        <v>905</v>
      </c>
      <c r="C209" s="27" t="s">
        <v>11</v>
      </c>
      <c r="D209" s="192">
        <f>15.96*1.01</f>
        <v>16.119600000000002</v>
      </c>
      <c r="E209" s="40"/>
      <c r="F209" s="28"/>
    </row>
    <row r="210" spans="2:6" ht="12.75">
      <c r="B210" s="47"/>
      <c r="C210" s="8"/>
      <c r="D210" s="191"/>
      <c r="E210" s="40"/>
      <c r="F210" s="28"/>
    </row>
    <row r="211" spans="1:6" ht="25.5">
      <c r="A211" s="54" t="s">
        <v>44</v>
      </c>
      <c r="B211" s="47" t="s">
        <v>167</v>
      </c>
      <c r="C211" s="8"/>
      <c r="D211" s="191"/>
      <c r="E211" s="40"/>
      <c r="F211" s="28"/>
    </row>
    <row r="212" spans="1:6" ht="12.75">
      <c r="A212" s="54"/>
      <c r="B212" s="67" t="s">
        <v>286</v>
      </c>
      <c r="C212" s="27"/>
      <c r="D212" s="191"/>
      <c r="E212" s="40"/>
      <c r="F212" s="28"/>
    </row>
    <row r="213" spans="2:6" ht="12.75">
      <c r="B213" s="47" t="s">
        <v>906</v>
      </c>
      <c r="C213" s="27" t="s">
        <v>11</v>
      </c>
      <c r="D213" s="192">
        <f>(10.51+2.77+10.37+2.79)*1.01</f>
        <v>26.7044</v>
      </c>
      <c r="E213" s="40"/>
      <c r="F213" s="28"/>
    </row>
    <row r="214" spans="2:6" ht="12.75">
      <c r="B214" s="47"/>
      <c r="C214" s="27"/>
      <c r="D214" s="191"/>
      <c r="E214" s="40"/>
      <c r="F214" s="28"/>
    </row>
    <row r="215" spans="2:6" ht="12.75">
      <c r="B215" s="188" t="s">
        <v>156</v>
      </c>
      <c r="C215" s="27"/>
      <c r="D215" s="191"/>
      <c r="E215" s="40"/>
      <c r="F215" s="28"/>
    </row>
    <row r="216" spans="2:6" ht="12.75">
      <c r="B216" s="47" t="s">
        <v>907</v>
      </c>
      <c r="C216" s="27" t="s">
        <v>11</v>
      </c>
      <c r="D216" s="192">
        <f>(9.45+12.72+16.11+9.05+6.7*2)*1.01</f>
        <v>61.3373</v>
      </c>
      <c r="E216" s="40"/>
      <c r="F216" s="28"/>
    </row>
    <row r="217" spans="2:6" ht="38.25">
      <c r="B217" s="47" t="s">
        <v>908</v>
      </c>
      <c r="C217" s="76" t="s">
        <v>11</v>
      </c>
      <c r="D217" s="85">
        <f>(17.54+20.56+2.93+8.1+9.2+9.09+9.3+3.36+4.42)*1.01</f>
        <v>85.345</v>
      </c>
      <c r="E217" s="90"/>
      <c r="F217" s="91"/>
    </row>
    <row r="218" spans="2:6" ht="12.75">
      <c r="B218" s="47"/>
      <c r="C218" s="27" t="s">
        <v>11</v>
      </c>
      <c r="D218" s="192">
        <f>SUM(D216:D217)</f>
        <v>146.6823</v>
      </c>
      <c r="E218" s="40"/>
      <c r="F218" s="28"/>
    </row>
    <row r="219" spans="2:6" ht="12.75">
      <c r="B219" s="47"/>
      <c r="C219" s="8"/>
      <c r="D219" s="191"/>
      <c r="E219" s="40"/>
      <c r="F219" s="28"/>
    </row>
    <row r="220" spans="1:6" ht="12.75">
      <c r="A220" s="55"/>
      <c r="B220" s="188" t="s">
        <v>392</v>
      </c>
      <c r="C220" s="27"/>
      <c r="D220" s="69"/>
      <c r="E220" s="40"/>
      <c r="F220" s="28"/>
    </row>
    <row r="221" spans="1:6" ht="12.75">
      <c r="A221" s="55"/>
      <c r="B221" s="47" t="s">
        <v>909</v>
      </c>
      <c r="C221" s="27" t="s">
        <v>11</v>
      </c>
      <c r="D221" s="69">
        <f>(4.68+8.36+8.62+2.05)*1.01</f>
        <v>23.9471</v>
      </c>
      <c r="E221" s="40"/>
      <c r="F221" s="28"/>
    </row>
    <row r="222" spans="2:6" ht="12.75">
      <c r="B222" s="47"/>
      <c r="C222" s="8"/>
      <c r="D222" s="191"/>
      <c r="E222" s="40"/>
      <c r="F222" s="28"/>
    </row>
    <row r="223" spans="1:6" ht="25.5">
      <c r="A223" s="54" t="s">
        <v>48</v>
      </c>
      <c r="B223" s="47" t="s">
        <v>391</v>
      </c>
      <c r="C223" s="8"/>
      <c r="D223" s="191"/>
      <c r="E223" s="40"/>
      <c r="F223" s="28"/>
    </row>
    <row r="224" spans="1:6" ht="12.75">
      <c r="A224" s="54"/>
      <c r="B224" s="67" t="s">
        <v>286</v>
      </c>
      <c r="C224" s="27"/>
      <c r="D224" s="191"/>
      <c r="E224" s="40"/>
      <c r="F224" s="28"/>
    </row>
    <row r="225" spans="1:6" ht="12.75">
      <c r="A225" s="55"/>
      <c r="B225" s="47" t="s">
        <v>910</v>
      </c>
      <c r="C225" s="27" t="s">
        <v>11</v>
      </c>
      <c r="D225" s="69">
        <f>(10.91+10.92+11.25)*1.01</f>
        <v>33.4108</v>
      </c>
      <c r="E225" s="40"/>
      <c r="F225" s="28"/>
    </row>
    <row r="226" spans="1:6" ht="12.75">
      <c r="A226" s="55"/>
      <c r="B226" s="47"/>
      <c r="C226" s="27"/>
      <c r="D226" s="69"/>
      <c r="E226" s="40"/>
      <c r="F226" s="28"/>
    </row>
    <row r="227" spans="1:6" ht="12.75">
      <c r="A227" s="55"/>
      <c r="B227" s="188" t="s">
        <v>392</v>
      </c>
      <c r="C227" s="27"/>
      <c r="D227" s="69"/>
      <c r="E227" s="40"/>
      <c r="F227" s="28"/>
    </row>
    <row r="228" spans="1:6" ht="12.75">
      <c r="A228" s="55"/>
      <c r="B228" s="47" t="s">
        <v>160</v>
      </c>
      <c r="C228" s="27" t="s">
        <v>11</v>
      </c>
      <c r="D228" s="69">
        <f>(12.91+10.74+12.32+209.97+44.38)*1.01</f>
        <v>293.2232</v>
      </c>
      <c r="E228" s="40"/>
      <c r="F228" s="28"/>
    </row>
    <row r="229" spans="1:6" ht="12.75">
      <c r="A229" s="55"/>
      <c r="B229" s="47"/>
      <c r="C229" s="8"/>
      <c r="D229" s="191"/>
      <c r="E229" s="40"/>
      <c r="F229" s="28"/>
    </row>
    <row r="230" spans="1:6" ht="12.75">
      <c r="A230" s="54" t="s">
        <v>49</v>
      </c>
      <c r="B230" s="47" t="s">
        <v>164</v>
      </c>
      <c r="C230" s="8"/>
      <c r="D230" s="191"/>
      <c r="E230" s="40"/>
      <c r="F230" s="28"/>
    </row>
    <row r="231" spans="1:6" ht="12.75">
      <c r="A231" s="54"/>
      <c r="B231" s="67" t="s">
        <v>286</v>
      </c>
      <c r="C231" s="27"/>
      <c r="D231" s="191"/>
      <c r="E231" s="40"/>
      <c r="F231" s="28"/>
    </row>
    <row r="232" spans="2:6" ht="12.75">
      <c r="B232" s="47" t="s">
        <v>911</v>
      </c>
      <c r="C232" s="27" t="s">
        <v>11</v>
      </c>
      <c r="D232" s="69">
        <f>(55.48+10.32+7.15+15.17)*1.01</f>
        <v>89.00120000000001</v>
      </c>
      <c r="E232" s="40"/>
      <c r="F232" s="28"/>
    </row>
    <row r="233" spans="2:6" ht="12.75">
      <c r="B233" s="47"/>
      <c r="C233" s="8"/>
      <c r="D233" s="191"/>
      <c r="E233" s="40"/>
      <c r="F233" s="28"/>
    </row>
    <row r="234" spans="1:6" ht="25.5">
      <c r="A234" s="54" t="s">
        <v>50</v>
      </c>
      <c r="B234" s="47" t="s">
        <v>400</v>
      </c>
      <c r="C234" s="8"/>
      <c r="D234" s="191"/>
      <c r="E234" s="40"/>
      <c r="F234" s="28"/>
    </row>
    <row r="235" spans="1:6" ht="12.75">
      <c r="A235" s="54"/>
      <c r="B235" s="67" t="s">
        <v>286</v>
      </c>
      <c r="C235" s="27"/>
      <c r="D235" s="191"/>
      <c r="E235" s="40"/>
      <c r="F235" s="28"/>
    </row>
    <row r="236" spans="1:6" ht="12.75">
      <c r="A236" s="2"/>
      <c r="B236" s="47" t="s">
        <v>912</v>
      </c>
      <c r="C236" s="27" t="s">
        <v>11</v>
      </c>
      <c r="D236" s="69">
        <f>481.76*1.01</f>
        <v>486.5776</v>
      </c>
      <c r="E236" s="40"/>
      <c r="F236" s="28"/>
    </row>
    <row r="237" spans="1:6" ht="12.75">
      <c r="A237" s="2"/>
      <c r="B237" s="47"/>
      <c r="C237" s="27"/>
      <c r="D237" s="80"/>
      <c r="E237" s="40"/>
      <c r="F237" s="28"/>
    </row>
    <row r="238" spans="1:6" ht="12.75">
      <c r="A238" s="2"/>
      <c r="B238" s="188" t="s">
        <v>156</v>
      </c>
      <c r="C238" s="27"/>
      <c r="D238" s="80"/>
      <c r="E238" s="40"/>
      <c r="F238" s="28"/>
    </row>
    <row r="239" spans="1:6" ht="12.75">
      <c r="A239" s="2"/>
      <c r="B239" s="47" t="s">
        <v>913</v>
      </c>
      <c r="C239" s="27" t="s">
        <v>11</v>
      </c>
      <c r="D239" s="69">
        <f>208.77*1.01</f>
        <v>210.85770000000002</v>
      </c>
      <c r="E239" s="40"/>
      <c r="F239" s="28"/>
    </row>
    <row r="240" spans="1:6" ht="12.75">
      <c r="A240" s="2"/>
      <c r="B240" s="47"/>
      <c r="C240" s="27"/>
      <c r="D240" s="80"/>
      <c r="E240" s="40"/>
      <c r="F240" s="28"/>
    </row>
    <row r="241" spans="1:6" ht="12.75">
      <c r="A241" s="2"/>
      <c r="B241" s="188" t="s">
        <v>302</v>
      </c>
      <c r="C241" s="27"/>
      <c r="D241" s="80"/>
      <c r="E241" s="40"/>
      <c r="F241" s="28"/>
    </row>
    <row r="242" spans="1:6" ht="12.75">
      <c r="A242" s="2"/>
      <c r="B242" s="47" t="s">
        <v>914</v>
      </c>
      <c r="C242" s="27" t="s">
        <v>11</v>
      </c>
      <c r="D242" s="80">
        <v>105.01</v>
      </c>
      <c r="E242" s="40"/>
      <c r="F242" s="28"/>
    </row>
    <row r="243" spans="1:6" ht="12.75">
      <c r="A243" s="2"/>
      <c r="B243" s="47"/>
      <c r="C243" s="27"/>
      <c r="D243" s="80"/>
      <c r="E243" s="40"/>
      <c r="F243" s="28"/>
    </row>
    <row r="244" spans="1:6" ht="25.5">
      <c r="A244" s="54" t="s">
        <v>51</v>
      </c>
      <c r="B244" s="47" t="s">
        <v>159</v>
      </c>
      <c r="C244" s="8"/>
      <c r="D244" s="191"/>
      <c r="E244" s="40"/>
      <c r="F244" s="28"/>
    </row>
    <row r="245" spans="1:6" ht="12.75">
      <c r="A245" s="54"/>
      <c r="B245" s="67" t="s">
        <v>286</v>
      </c>
      <c r="C245" s="27"/>
      <c r="D245" s="191"/>
      <c r="E245" s="40"/>
      <c r="F245" s="28"/>
    </row>
    <row r="246" spans="2:6" ht="25.5">
      <c r="B246" s="47" t="s">
        <v>915</v>
      </c>
      <c r="C246" s="27" t="s">
        <v>11</v>
      </c>
      <c r="D246" s="69">
        <f>(51.9+29.94+18.27+93.65+5.91+16.57+18)*1.01</f>
        <v>236.58239999999998</v>
      </c>
      <c r="E246" s="40"/>
      <c r="F246" s="28"/>
    </row>
    <row r="247" spans="2:6" ht="12.75">
      <c r="B247" s="47" t="s">
        <v>916</v>
      </c>
      <c r="C247" s="27" t="s">
        <v>11</v>
      </c>
      <c r="D247" s="69">
        <f>(15.68+16.24)*1.01</f>
        <v>32.2392</v>
      </c>
      <c r="E247" s="40"/>
      <c r="F247" s="28"/>
    </row>
    <row r="248" spans="1:6" ht="12.75">
      <c r="A248" s="55"/>
      <c r="B248" s="47"/>
      <c r="C248" s="86" t="s">
        <v>11</v>
      </c>
      <c r="D248" s="94">
        <f>SUM(D246:D247)</f>
        <v>268.8216</v>
      </c>
      <c r="E248" s="87"/>
      <c r="F248" s="88"/>
    </row>
    <row r="249" spans="1:6" s="200" customFormat="1" ht="11.25">
      <c r="A249" s="193"/>
      <c r="B249" s="194"/>
      <c r="C249" s="195"/>
      <c r="D249" s="196"/>
      <c r="E249" s="197"/>
      <c r="F249" s="198"/>
    </row>
    <row r="250" spans="1:6" ht="12.75">
      <c r="A250" s="55"/>
      <c r="B250" s="188" t="s">
        <v>156</v>
      </c>
      <c r="C250" s="27"/>
      <c r="D250" s="80"/>
      <c r="E250" s="40"/>
      <c r="F250" s="28"/>
    </row>
    <row r="251" spans="1:6" ht="12.75">
      <c r="A251" s="55"/>
      <c r="B251" s="47" t="s">
        <v>917</v>
      </c>
      <c r="C251" s="27" t="s">
        <v>11</v>
      </c>
      <c r="D251" s="69">
        <f>13.52*1.01</f>
        <v>13.655199999999999</v>
      </c>
      <c r="E251" s="40"/>
      <c r="F251" s="28"/>
    </row>
    <row r="252" spans="1:6" ht="12.75">
      <c r="A252" s="55"/>
      <c r="B252" s="47" t="s">
        <v>918</v>
      </c>
      <c r="C252" s="27" t="s">
        <v>11</v>
      </c>
      <c r="D252" s="69">
        <f>(111.31+20.67+51.42+113.12+33.3)*1.01</f>
        <v>333.11820000000006</v>
      </c>
      <c r="E252" s="40"/>
      <c r="F252" s="28"/>
    </row>
    <row r="253" spans="1:6" ht="12.75">
      <c r="A253" s="55"/>
      <c r="B253" s="47"/>
      <c r="C253" s="86" t="s">
        <v>11</v>
      </c>
      <c r="D253" s="94">
        <f>SUM(D251:D252)</f>
        <v>346.77340000000004</v>
      </c>
      <c r="E253" s="87"/>
      <c r="F253" s="88"/>
    </row>
    <row r="254" spans="1:6" ht="12.75">
      <c r="A254" s="55"/>
      <c r="B254" s="47"/>
      <c r="C254" s="27"/>
      <c r="D254" s="69"/>
      <c r="E254" s="40"/>
      <c r="F254" s="28"/>
    </row>
    <row r="255" spans="1:6" ht="12.75">
      <c r="A255" s="55"/>
      <c r="B255" s="188" t="s">
        <v>302</v>
      </c>
      <c r="C255" s="27"/>
      <c r="D255" s="69"/>
      <c r="E255" s="40"/>
      <c r="F255" s="28"/>
    </row>
    <row r="256" spans="1:6" ht="12.75">
      <c r="A256" s="55"/>
      <c r="B256" s="47" t="s">
        <v>920</v>
      </c>
      <c r="C256" s="27" t="s">
        <v>11</v>
      </c>
      <c r="D256" s="69">
        <v>143.32</v>
      </c>
      <c r="E256" s="40"/>
      <c r="F256" s="28"/>
    </row>
    <row r="257" spans="1:6" ht="12.75">
      <c r="A257" s="55"/>
      <c r="B257" s="47" t="s">
        <v>919</v>
      </c>
      <c r="C257" s="27" t="s">
        <v>11</v>
      </c>
      <c r="D257" s="69">
        <f>21.01+210.62</f>
        <v>231.63</v>
      </c>
      <c r="E257" s="40"/>
      <c r="F257" s="28"/>
    </row>
    <row r="258" spans="1:6" ht="12.75">
      <c r="A258" s="55"/>
      <c r="B258" s="47"/>
      <c r="C258" s="86" t="s">
        <v>11</v>
      </c>
      <c r="D258" s="94">
        <f>SUM(D254:D257)</f>
        <v>374.95</v>
      </c>
      <c r="E258" s="87"/>
      <c r="F258" s="88"/>
    </row>
    <row r="259" spans="1:6" ht="12.75">
      <c r="A259" s="55"/>
      <c r="B259" s="47"/>
      <c r="C259" s="27"/>
      <c r="D259" s="69"/>
      <c r="E259" s="40"/>
      <c r="F259" s="28"/>
    </row>
    <row r="260" spans="1:6" ht="38.25">
      <c r="A260" s="54" t="s">
        <v>53</v>
      </c>
      <c r="B260" s="47" t="s">
        <v>407</v>
      </c>
      <c r="C260" s="8"/>
      <c r="D260" s="191"/>
      <c r="E260" s="40"/>
      <c r="F260" s="28"/>
    </row>
    <row r="261" spans="1:6" ht="12.75">
      <c r="A261" s="54"/>
      <c r="B261" s="67" t="s">
        <v>286</v>
      </c>
      <c r="C261" s="27"/>
      <c r="D261" s="191"/>
      <c r="E261" s="40"/>
      <c r="F261" s="28"/>
    </row>
    <row r="262" spans="2:6" ht="51">
      <c r="B262" s="47" t="s">
        <v>921</v>
      </c>
      <c r="C262" s="27" t="s">
        <v>11</v>
      </c>
      <c r="D262" s="69">
        <f>(14.29+14.23+13.87+43.47+27.78+10.71+8.72+50.8+38.45+23.99+27.65+11.09+28.34+40.37+14.62+16.8)*1.01</f>
        <v>389.0318</v>
      </c>
      <c r="E262" s="40"/>
      <c r="F262" s="28"/>
    </row>
    <row r="263" spans="2:6" ht="12.75">
      <c r="B263" s="47"/>
      <c r="C263" s="27"/>
      <c r="D263" s="80"/>
      <c r="E263" s="40"/>
      <c r="F263" s="28"/>
    </row>
    <row r="264" spans="2:6" ht="12.75">
      <c r="B264" s="188" t="s">
        <v>156</v>
      </c>
      <c r="C264" s="27"/>
      <c r="D264" s="80"/>
      <c r="E264" s="40"/>
      <c r="F264" s="28"/>
    </row>
    <row r="265" spans="2:6" ht="63.75">
      <c r="B265" s="47" t="s">
        <v>922</v>
      </c>
      <c r="C265" s="27" t="s">
        <v>11</v>
      </c>
      <c r="D265" s="69">
        <f>((8.23+20.91+17.06+61.99+5.41+36.22+21.15+19.29+47.87)+(75.45-31.81+9.3+42.07+34.93+53.06+7.65+43.14+44.5+90.39))*1.01</f>
        <v>612.8780999999999</v>
      </c>
      <c r="E265" s="40"/>
      <c r="F265" s="28"/>
    </row>
    <row r="266" spans="2:6" ht="12.75">
      <c r="B266" s="47"/>
      <c r="C266" s="27"/>
      <c r="D266" s="80"/>
      <c r="E266" s="40"/>
      <c r="F266" s="28"/>
    </row>
    <row r="267" spans="2:6" ht="12.75">
      <c r="B267" s="188" t="s">
        <v>302</v>
      </c>
      <c r="C267" s="27"/>
      <c r="D267" s="80"/>
      <c r="E267" s="40"/>
      <c r="F267" s="28"/>
    </row>
    <row r="268" spans="2:6" ht="12.75">
      <c r="B268" s="47" t="s">
        <v>923</v>
      </c>
      <c r="C268" s="27" t="s">
        <v>11</v>
      </c>
      <c r="D268" s="69">
        <v>404.44</v>
      </c>
      <c r="E268" s="40"/>
      <c r="F268" s="28"/>
    </row>
    <row r="269" spans="2:6" ht="12.75">
      <c r="B269" s="188"/>
      <c r="C269" s="27"/>
      <c r="D269" s="80"/>
      <c r="E269" s="40"/>
      <c r="F269" s="28"/>
    </row>
    <row r="270" spans="2:6" ht="12.75">
      <c r="B270" s="188" t="s">
        <v>402</v>
      </c>
      <c r="C270" s="27"/>
      <c r="D270" s="80"/>
      <c r="E270" s="40"/>
      <c r="F270" s="28"/>
    </row>
    <row r="271" spans="2:6" ht="12.75">
      <c r="B271" s="29" t="s">
        <v>410</v>
      </c>
      <c r="C271" s="27"/>
      <c r="D271" s="80"/>
      <c r="E271" s="40"/>
      <c r="F271" s="28"/>
    </row>
    <row r="272" spans="2:6" ht="38.25">
      <c r="B272" s="162" t="s">
        <v>404</v>
      </c>
      <c r="C272" s="27"/>
      <c r="D272" s="80"/>
      <c r="E272" s="40"/>
      <c r="F272" s="28"/>
    </row>
    <row r="273" spans="2:6" ht="25.5">
      <c r="B273" s="162" t="s">
        <v>924</v>
      </c>
      <c r="C273" s="27" t="s">
        <v>11</v>
      </c>
      <c r="D273" s="69">
        <v>179.8</v>
      </c>
      <c r="E273" s="40"/>
      <c r="F273" s="28"/>
    </row>
    <row r="274" spans="2:6" ht="12.75">
      <c r="B274" s="162"/>
      <c r="C274" s="27"/>
      <c r="D274" s="80"/>
      <c r="E274" s="40"/>
      <c r="F274" s="28"/>
    </row>
    <row r="275" spans="1:6" ht="12.75">
      <c r="A275" s="54" t="s">
        <v>93</v>
      </c>
      <c r="B275" s="47" t="s">
        <v>216</v>
      </c>
      <c r="C275" s="8"/>
      <c r="D275" s="191"/>
      <c r="E275" s="40"/>
      <c r="F275" s="28"/>
    </row>
    <row r="276" spans="1:6" ht="12.75">
      <c r="A276" s="54"/>
      <c r="B276" s="67" t="s">
        <v>286</v>
      </c>
      <c r="C276" s="27"/>
      <c r="D276" s="191"/>
      <c r="E276" s="40"/>
      <c r="F276" s="28"/>
    </row>
    <row r="277" spans="1:6" ht="12.75">
      <c r="A277" s="55"/>
      <c r="B277" s="47" t="s">
        <v>925</v>
      </c>
      <c r="C277" s="27" t="s">
        <v>11</v>
      </c>
      <c r="D277" s="69">
        <f>(4.81+4.9+14.14)*1.01</f>
        <v>24.088500000000003</v>
      </c>
      <c r="E277" s="40"/>
      <c r="F277" s="28"/>
    </row>
    <row r="278" spans="1:6" ht="12.75">
      <c r="A278" s="55"/>
      <c r="B278" s="47"/>
      <c r="C278" s="27"/>
      <c r="D278" s="80"/>
      <c r="E278" s="40"/>
      <c r="F278" s="28"/>
    </row>
    <row r="279" spans="1:6" ht="12.75">
      <c r="A279" s="2"/>
      <c r="B279" s="188" t="s">
        <v>156</v>
      </c>
      <c r="C279" s="27"/>
      <c r="D279" s="80"/>
      <c r="E279" s="40"/>
      <c r="F279" s="28"/>
    </row>
    <row r="280" spans="1:6" ht="12.75">
      <c r="A280" s="2"/>
      <c r="B280" s="47" t="s">
        <v>926</v>
      </c>
      <c r="C280" s="27" t="s">
        <v>11</v>
      </c>
      <c r="D280" s="69">
        <f>5.08*2*1.01</f>
        <v>10.2616</v>
      </c>
      <c r="E280" s="40"/>
      <c r="F280" s="28"/>
    </row>
    <row r="281" spans="1:6" ht="12.75">
      <c r="A281" s="2"/>
      <c r="B281" s="2" t="s">
        <v>927</v>
      </c>
      <c r="C281" s="27" t="s">
        <v>11</v>
      </c>
      <c r="D281" s="69">
        <f>(5.08*2+4.08*2)*1.01</f>
        <v>18.5032</v>
      </c>
      <c r="E281" s="40"/>
      <c r="F281" s="28"/>
    </row>
    <row r="282" spans="1:6" ht="12.75">
      <c r="A282" s="2"/>
      <c r="B282" s="2" t="s">
        <v>928</v>
      </c>
      <c r="C282" s="27" t="s">
        <v>11</v>
      </c>
      <c r="D282" s="69">
        <f>(5.08*2+4.08*2)*1.01</f>
        <v>18.5032</v>
      </c>
      <c r="E282" s="40"/>
      <c r="F282" s="28"/>
    </row>
    <row r="283" spans="1:6" ht="12.75">
      <c r="A283" s="186"/>
      <c r="B283" s="47"/>
      <c r="C283" s="86" t="s">
        <v>11</v>
      </c>
      <c r="D283" s="94">
        <f>SUM(D278:D282)</f>
        <v>47.268</v>
      </c>
      <c r="E283" s="87"/>
      <c r="F283" s="88"/>
    </row>
    <row r="284" spans="1:6" ht="12.75">
      <c r="A284" s="186"/>
      <c r="B284" s="47"/>
      <c r="C284" s="27"/>
      <c r="D284" s="69"/>
      <c r="E284" s="40"/>
      <c r="F284" s="28"/>
    </row>
    <row r="285" spans="1:6" ht="12.75">
      <c r="A285" s="186"/>
      <c r="B285" s="188" t="s">
        <v>302</v>
      </c>
      <c r="C285" s="27"/>
      <c r="D285" s="69"/>
      <c r="E285" s="40"/>
      <c r="F285" s="28"/>
    </row>
    <row r="286" spans="1:6" ht="12.75">
      <c r="A286" s="2"/>
      <c r="B286" s="2" t="s">
        <v>929</v>
      </c>
      <c r="C286" s="27" t="s">
        <v>11</v>
      </c>
      <c r="D286" s="69">
        <f>(6.98*2)*1.01</f>
        <v>14.0996</v>
      </c>
      <c r="E286" s="40"/>
      <c r="F286" s="28"/>
    </row>
    <row r="287" spans="1:6" ht="12.75">
      <c r="A287" s="2"/>
      <c r="B287" s="2" t="s">
        <v>930</v>
      </c>
      <c r="C287" s="27" t="s">
        <v>11</v>
      </c>
      <c r="D287" s="69">
        <f>(6.98*2)*1.01</f>
        <v>14.0996</v>
      </c>
      <c r="E287" s="40"/>
      <c r="F287" s="28"/>
    </row>
    <row r="288" spans="1:6" ht="12.75">
      <c r="A288" s="186"/>
      <c r="B288" s="47"/>
      <c r="C288" s="86" t="s">
        <v>11</v>
      </c>
      <c r="D288" s="94">
        <f>SUM(D283:D287)</f>
        <v>75.4672</v>
      </c>
      <c r="E288" s="87"/>
      <c r="F288" s="88"/>
    </row>
    <row r="289" spans="1:6" ht="12.75">
      <c r="A289" s="55"/>
      <c r="B289" s="47"/>
      <c r="C289" s="27"/>
      <c r="D289" s="80"/>
      <c r="E289" s="40"/>
      <c r="F289" s="28"/>
    </row>
    <row r="290" spans="1:6" ht="25.5">
      <c r="A290" s="54" t="s">
        <v>94</v>
      </c>
      <c r="B290" s="47" t="s">
        <v>387</v>
      </c>
      <c r="C290" s="8"/>
      <c r="D290" s="191"/>
      <c r="E290" s="40"/>
      <c r="F290" s="28"/>
    </row>
    <row r="291" spans="1:6" ht="12.75">
      <c r="A291" s="54"/>
      <c r="B291" s="67" t="s">
        <v>286</v>
      </c>
      <c r="C291" s="27"/>
      <c r="D291" s="191"/>
      <c r="E291" s="40"/>
      <c r="F291" s="28"/>
    </row>
    <row r="292" spans="1:6" ht="12.75">
      <c r="A292" s="54"/>
      <c r="B292" s="44" t="s">
        <v>931</v>
      </c>
      <c r="C292" s="27" t="s">
        <v>11</v>
      </c>
      <c r="D292" s="192">
        <f>7.52*1.01</f>
        <v>7.595199999999999</v>
      </c>
      <c r="E292" s="40"/>
      <c r="F292" s="28"/>
    </row>
    <row r="293" spans="1:6" ht="12.75">
      <c r="A293" s="2"/>
      <c r="B293" s="47" t="s">
        <v>932</v>
      </c>
      <c r="C293" s="76" t="s">
        <v>11</v>
      </c>
      <c r="D293" s="85">
        <f>(4.46+5.1+4.97)*1.01</f>
        <v>14.675299999999998</v>
      </c>
      <c r="E293" s="90"/>
      <c r="F293" s="91"/>
    </row>
    <row r="294" spans="1:6" ht="12.75">
      <c r="A294" s="2"/>
      <c r="B294" s="47"/>
      <c r="C294" s="27" t="s">
        <v>11</v>
      </c>
      <c r="D294" s="69">
        <f>SUM(D292:D293)</f>
        <v>22.2705</v>
      </c>
      <c r="E294" s="40"/>
      <c r="F294" s="28"/>
    </row>
    <row r="295" spans="1:6" ht="12.75">
      <c r="A295" s="2"/>
      <c r="B295" s="188" t="s">
        <v>156</v>
      </c>
      <c r="C295" s="27"/>
      <c r="D295" s="80"/>
      <c r="E295" s="40"/>
      <c r="F295" s="28"/>
    </row>
    <row r="296" spans="1:6" ht="12.75">
      <c r="A296" s="2"/>
      <c r="B296" s="47" t="s">
        <v>933</v>
      </c>
      <c r="C296" s="27" t="s">
        <v>11</v>
      </c>
      <c r="D296" s="69">
        <f>(4.97*3+5.09*2+2.38+4)*1.01</f>
        <v>31.7847</v>
      </c>
      <c r="E296" s="40"/>
      <c r="F296" s="28"/>
    </row>
    <row r="297" spans="1:6" ht="12.75">
      <c r="A297" s="2"/>
      <c r="B297" s="47" t="s">
        <v>934</v>
      </c>
      <c r="C297" s="27" t="s">
        <v>11</v>
      </c>
      <c r="D297" s="69">
        <f>(5.11+4.04+17.04)*1.01</f>
        <v>26.4519</v>
      </c>
      <c r="E297" s="40"/>
      <c r="F297" s="28"/>
    </row>
    <row r="298" spans="1:6" ht="12.75">
      <c r="A298" s="186"/>
      <c r="B298" s="47"/>
      <c r="C298" s="86" t="s">
        <v>11</v>
      </c>
      <c r="D298" s="94">
        <f>SUM(D294:D297)</f>
        <v>80.5071</v>
      </c>
      <c r="E298" s="87"/>
      <c r="F298" s="88"/>
    </row>
    <row r="299" spans="1:6" ht="12.75">
      <c r="A299" s="186"/>
      <c r="B299" s="47"/>
      <c r="C299" s="27"/>
      <c r="D299" s="80"/>
      <c r="E299" s="40"/>
      <c r="F299" s="28"/>
    </row>
    <row r="300" spans="1:6" ht="12.75">
      <c r="A300" s="186"/>
      <c r="B300" s="188" t="s">
        <v>302</v>
      </c>
      <c r="C300" s="27"/>
      <c r="D300" s="80"/>
      <c r="E300" s="40"/>
      <c r="F300" s="28"/>
    </row>
    <row r="301" spans="1:6" ht="25.5">
      <c r="A301" s="186"/>
      <c r="B301" s="47" t="s">
        <v>935</v>
      </c>
      <c r="C301" s="27" t="s">
        <v>11</v>
      </c>
      <c r="D301" s="69">
        <v>90.62</v>
      </c>
      <c r="E301" s="40"/>
      <c r="F301" s="28"/>
    </row>
    <row r="302" spans="1:6" ht="12.75">
      <c r="A302" s="186"/>
      <c r="B302" s="47" t="s">
        <v>936</v>
      </c>
      <c r="C302" s="27" t="s">
        <v>11</v>
      </c>
      <c r="D302" s="80">
        <v>16.51</v>
      </c>
      <c r="E302" s="40"/>
      <c r="F302" s="28"/>
    </row>
    <row r="303" spans="1:6" ht="12.75">
      <c r="A303" s="186"/>
      <c r="B303" s="47"/>
      <c r="C303" s="86" t="s">
        <v>11</v>
      </c>
      <c r="D303" s="94">
        <f>SUM(D299:D302)</f>
        <v>107.13000000000001</v>
      </c>
      <c r="E303" s="87"/>
      <c r="F303" s="88"/>
    </row>
    <row r="304" spans="1:6" ht="12.75">
      <c r="A304" s="186"/>
      <c r="B304" s="47"/>
      <c r="C304" s="27"/>
      <c r="D304" s="80"/>
      <c r="E304" s="40"/>
      <c r="F304" s="28"/>
    </row>
    <row r="305" spans="1:6" ht="25.5">
      <c r="A305" s="54" t="s">
        <v>165</v>
      </c>
      <c r="B305" s="47" t="s">
        <v>388</v>
      </c>
      <c r="C305" s="27"/>
      <c r="D305" s="80"/>
      <c r="E305" s="40"/>
      <c r="F305" s="28"/>
    </row>
    <row r="306" spans="1:6" ht="12.75">
      <c r="A306" s="54"/>
      <c r="B306" s="188" t="s">
        <v>157</v>
      </c>
      <c r="C306" s="27"/>
      <c r="D306" s="80"/>
      <c r="E306" s="40"/>
      <c r="F306" s="28"/>
    </row>
    <row r="307" spans="1:6" ht="12.75">
      <c r="A307" s="54"/>
      <c r="B307" s="47" t="s">
        <v>937</v>
      </c>
      <c r="C307" s="27" t="s">
        <v>11</v>
      </c>
      <c r="D307" s="69">
        <f>7.88*1.01</f>
        <v>7.9588</v>
      </c>
      <c r="E307" s="40"/>
      <c r="F307" s="28"/>
    </row>
    <row r="308" spans="1:6" ht="12.75">
      <c r="A308" s="54"/>
      <c r="B308" s="47"/>
      <c r="C308" s="27"/>
      <c r="D308" s="69"/>
      <c r="E308" s="40"/>
      <c r="F308" s="28"/>
    </row>
    <row r="309" spans="1:6" ht="12.75">
      <c r="A309" s="54"/>
      <c r="B309" s="188" t="s">
        <v>338</v>
      </c>
      <c r="C309" s="27"/>
      <c r="D309" s="69"/>
      <c r="E309" s="40"/>
      <c r="F309" s="28"/>
    </row>
    <row r="310" spans="1:6" ht="12.75">
      <c r="A310" s="54"/>
      <c r="B310" s="47" t="s">
        <v>938</v>
      </c>
      <c r="C310" s="27" t="s">
        <v>11</v>
      </c>
      <c r="D310" s="69">
        <v>41.74</v>
      </c>
      <c r="E310" s="40"/>
      <c r="F310" s="28"/>
    </row>
    <row r="311" spans="1:6" ht="12.75">
      <c r="A311" s="54"/>
      <c r="B311" s="47"/>
      <c r="C311" s="27"/>
      <c r="D311" s="80"/>
      <c r="E311" s="40"/>
      <c r="F311" s="28"/>
    </row>
    <row r="312" spans="1:6" ht="25.5">
      <c r="A312" s="54" t="s">
        <v>166</v>
      </c>
      <c r="B312" s="47" t="s">
        <v>390</v>
      </c>
      <c r="C312" s="27"/>
      <c r="D312" s="80"/>
      <c r="E312" s="40"/>
      <c r="F312" s="28"/>
    </row>
    <row r="313" spans="1:6" ht="12.75">
      <c r="A313" s="54"/>
      <c r="B313" s="67" t="s">
        <v>939</v>
      </c>
      <c r="C313" s="27" t="s">
        <v>11</v>
      </c>
      <c r="D313" s="69">
        <v>5</v>
      </c>
      <c r="E313" s="40"/>
      <c r="F313" s="28"/>
    </row>
    <row r="314" spans="1:6" ht="12.75">
      <c r="A314" s="54"/>
      <c r="B314" s="188" t="s">
        <v>940</v>
      </c>
      <c r="C314" s="27" t="s">
        <v>11</v>
      </c>
      <c r="D314" s="69">
        <f>5*3</f>
        <v>15</v>
      </c>
      <c r="E314" s="40"/>
      <c r="F314" s="28"/>
    </row>
    <row r="315" spans="1:6" ht="12.75">
      <c r="A315" s="54"/>
      <c r="B315" s="188" t="s">
        <v>941</v>
      </c>
      <c r="C315" s="27" t="s">
        <v>11</v>
      </c>
      <c r="D315" s="85">
        <v>5</v>
      </c>
      <c r="E315" s="90"/>
      <c r="F315" s="91"/>
    </row>
    <row r="316" spans="1:6" ht="12.75">
      <c r="A316" s="54"/>
      <c r="B316" s="47"/>
      <c r="C316" s="27" t="s">
        <v>11</v>
      </c>
      <c r="D316" s="69">
        <f>SUM(D313:D315)</f>
        <v>25</v>
      </c>
      <c r="E316" s="40"/>
      <c r="F316" s="28"/>
    </row>
    <row r="317" spans="1:6" ht="12.75">
      <c r="A317" s="54"/>
      <c r="B317" s="47"/>
      <c r="C317" s="27"/>
      <c r="D317" s="69"/>
      <c r="E317" s="40"/>
      <c r="F317" s="28"/>
    </row>
    <row r="318" spans="1:6" ht="25.5">
      <c r="A318" s="54" t="s">
        <v>237</v>
      </c>
      <c r="B318" s="47" t="s">
        <v>232</v>
      </c>
      <c r="C318" s="27"/>
      <c r="D318" s="80"/>
      <c r="E318" s="40"/>
      <c r="F318" s="28"/>
    </row>
    <row r="319" spans="1:6" ht="12.75">
      <c r="A319" s="54"/>
      <c r="B319" s="89" t="s">
        <v>942</v>
      </c>
      <c r="C319" s="27" t="s">
        <v>11</v>
      </c>
      <c r="D319" s="80">
        <v>273.21</v>
      </c>
      <c r="E319" s="40"/>
      <c r="F319" s="28"/>
    </row>
    <row r="320" spans="1:6" ht="12.75">
      <c r="A320" s="54"/>
      <c r="B320" s="47"/>
      <c r="C320" s="27"/>
      <c r="D320" s="80"/>
      <c r="E320" s="40"/>
      <c r="F320" s="28"/>
    </row>
    <row r="321" spans="1:6" ht="51">
      <c r="A321" s="54" t="s">
        <v>238</v>
      </c>
      <c r="B321" s="22" t="s">
        <v>943</v>
      </c>
      <c r="C321" s="27" t="s">
        <v>11</v>
      </c>
      <c r="D321" s="69">
        <f>(304.6+35.8)*2</f>
        <v>680.8000000000001</v>
      </c>
      <c r="E321" s="40"/>
      <c r="F321" s="28"/>
    </row>
    <row r="322" spans="1:6" ht="12.75">
      <c r="A322" s="54"/>
      <c r="B322" s="22"/>
      <c r="C322" s="27"/>
      <c r="D322" s="69"/>
      <c r="E322" s="40"/>
      <c r="F322" s="28"/>
    </row>
    <row r="323" spans="1:6" ht="51">
      <c r="A323" s="54" t="s">
        <v>254</v>
      </c>
      <c r="B323" s="22" t="s">
        <v>944</v>
      </c>
      <c r="C323" s="27" t="s">
        <v>11</v>
      </c>
      <c r="D323" s="69">
        <f>304.6+35.8</f>
        <v>340.40000000000003</v>
      </c>
      <c r="E323" s="40"/>
      <c r="F323" s="28"/>
    </row>
    <row r="324" spans="1:6" ht="12.75">
      <c r="A324" s="54"/>
      <c r="B324" s="22"/>
      <c r="C324" s="27"/>
      <c r="D324" s="69"/>
      <c r="E324" s="40"/>
      <c r="F324" s="28"/>
    </row>
    <row r="325" spans="1:4" ht="12.75">
      <c r="A325" s="54" t="s">
        <v>389</v>
      </c>
      <c r="B325" s="22" t="s">
        <v>255</v>
      </c>
      <c r="D325" s="191"/>
    </row>
    <row r="326" spans="1:6" ht="12.75">
      <c r="A326" s="54"/>
      <c r="B326" s="67" t="s">
        <v>946</v>
      </c>
      <c r="C326" s="27" t="s">
        <v>11</v>
      </c>
      <c r="D326" s="69">
        <v>906</v>
      </c>
      <c r="E326" s="40"/>
      <c r="F326" s="28"/>
    </row>
    <row r="327" spans="1:6" ht="12.75">
      <c r="A327" s="54"/>
      <c r="B327" s="188" t="s">
        <v>947</v>
      </c>
      <c r="C327" s="27" t="s">
        <v>11</v>
      </c>
      <c r="D327" s="69">
        <v>1773.8</v>
      </c>
      <c r="E327" s="40"/>
      <c r="F327" s="28"/>
    </row>
    <row r="328" spans="1:6" ht="12.75">
      <c r="A328" s="54"/>
      <c r="B328" s="188" t="s">
        <v>948</v>
      </c>
      <c r="C328" s="27" t="s">
        <v>11</v>
      </c>
      <c r="D328" s="69">
        <v>1701.4</v>
      </c>
      <c r="E328" s="40"/>
      <c r="F328" s="28"/>
    </row>
    <row r="329" spans="1:6" ht="12.75">
      <c r="A329" s="54"/>
      <c r="B329" s="188"/>
      <c r="C329" s="27"/>
      <c r="D329" s="69"/>
      <c r="E329" s="40"/>
      <c r="F329" s="28"/>
    </row>
    <row r="330" spans="1:6" ht="12.75">
      <c r="A330" s="54"/>
      <c r="B330" s="188" t="s">
        <v>261</v>
      </c>
      <c r="C330" s="27"/>
      <c r="D330" s="69"/>
      <c r="E330" s="40"/>
      <c r="F330" s="28"/>
    </row>
    <row r="331" spans="1:6" ht="12.75">
      <c r="A331" s="54"/>
      <c r="B331" s="188"/>
      <c r="C331" s="27"/>
      <c r="D331" s="69"/>
      <c r="E331" s="40"/>
      <c r="F331" s="28"/>
    </row>
    <row r="332" spans="1:6" ht="51">
      <c r="A332" s="73">
        <f>A135+1</f>
        <v>110</v>
      </c>
      <c r="B332" s="47" t="s">
        <v>262</v>
      </c>
      <c r="C332" s="27"/>
      <c r="D332" s="69"/>
      <c r="E332" s="40"/>
      <c r="F332" s="28"/>
    </row>
    <row r="333" spans="1:6" ht="12.75">
      <c r="A333" s="54"/>
      <c r="B333" s="144" t="s">
        <v>945</v>
      </c>
      <c r="C333" s="27" t="s">
        <v>12</v>
      </c>
      <c r="D333" s="69">
        <v>0.1</v>
      </c>
      <c r="E333" s="40"/>
      <c r="F333" s="28"/>
    </row>
    <row r="334" spans="1:6" ht="12.75">
      <c r="A334" s="54"/>
      <c r="B334" s="188"/>
      <c r="C334" s="27"/>
      <c r="D334" s="69"/>
      <c r="E334" s="40"/>
      <c r="F334" s="28"/>
    </row>
    <row r="335" spans="1:6" ht="12.75">
      <c r="A335" s="186"/>
      <c r="B335" s="29"/>
      <c r="C335" s="65"/>
      <c r="D335" s="80"/>
      <c r="E335" s="30"/>
      <c r="F335" s="30"/>
    </row>
    <row r="336" spans="1:6" ht="12.75">
      <c r="A336" s="46">
        <f>A5</f>
        <v>100</v>
      </c>
      <c r="B336" s="33" t="str">
        <f>B5</f>
        <v>ZIDARSKI RADOVI</v>
      </c>
      <c r="C336" s="66" t="s">
        <v>1484</v>
      </c>
      <c r="D336" s="190"/>
      <c r="E336" s="14"/>
      <c r="F336" s="15"/>
    </row>
    <row r="337" spans="1:6" s="41" customFormat="1" ht="12.75">
      <c r="A337" s="53"/>
      <c r="B337" s="11"/>
      <c r="C337" s="64"/>
      <c r="D337" s="2"/>
      <c r="E337" s="2"/>
      <c r="F337" s="2"/>
    </row>
    <row r="338" spans="1:6" s="41" customFormat="1" ht="12.75">
      <c r="A338" s="55"/>
      <c r="B338" s="29"/>
      <c r="C338" s="65"/>
      <c r="D338" s="27"/>
      <c r="E338" s="30"/>
      <c r="F338" s="30"/>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9" r:id="rId1"/>
  <rowBreaks count="10" manualBreakCount="10">
    <brk id="24" max="5" man="1"/>
    <brk id="41" max="5" man="1"/>
    <brk id="57" max="5" man="1"/>
    <brk id="70" max="5" man="1"/>
    <brk id="82" max="5" man="1"/>
    <brk id="95" max="5" man="1"/>
    <brk id="116" max="5" man="1"/>
    <brk id="149" max="5" man="1"/>
    <brk id="193" max="5" man="1"/>
    <brk id="269" max="5" man="1"/>
  </rowBreaks>
</worksheet>
</file>

<file path=xl/worksheets/sheet4.xml><?xml version="1.0" encoding="utf-8"?>
<worksheet xmlns="http://schemas.openxmlformats.org/spreadsheetml/2006/main" xmlns:r="http://schemas.openxmlformats.org/officeDocument/2006/relationships">
  <dimension ref="A1:F207"/>
  <sheetViews>
    <sheetView view="pageLayout" zoomScaleSheetLayoutView="110" workbookViewId="0" topLeftCell="A196">
      <selection activeCell="C204" sqref="C204"/>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f>zidarski!A5+100</f>
        <v>200</v>
      </c>
      <c r="B4" s="82" t="s">
        <v>27</v>
      </c>
      <c r="C4" s="63"/>
      <c r="D4" s="13"/>
      <c r="E4" s="13"/>
      <c r="F4" s="13"/>
    </row>
    <row r="5" spans="1:6" ht="12.75">
      <c r="A5" s="73"/>
      <c r="B5" s="74"/>
      <c r="C5" s="59"/>
      <c r="D5" s="3"/>
      <c r="E5" s="3"/>
      <c r="F5" s="3"/>
    </row>
    <row r="6" spans="1:6" s="98" customFormat="1" ht="63.75">
      <c r="A6" s="114"/>
      <c r="B6" s="164" t="s">
        <v>221</v>
      </c>
      <c r="C6" s="100"/>
      <c r="D6" s="99"/>
      <c r="E6" s="99"/>
      <c r="F6" s="99"/>
    </row>
    <row r="7" spans="1:6" s="98" customFormat="1" ht="89.25">
      <c r="A7" s="114"/>
      <c r="B7" s="164" t="s">
        <v>222</v>
      </c>
      <c r="C7" s="100"/>
      <c r="D7" s="99"/>
      <c r="E7" s="295" t="s">
        <v>788</v>
      </c>
      <c r="F7" s="99"/>
    </row>
    <row r="8" spans="1:6" s="98" customFormat="1" ht="102">
      <c r="A8" s="114"/>
      <c r="B8" s="165" t="s">
        <v>225</v>
      </c>
      <c r="C8" s="100"/>
      <c r="D8" s="99"/>
      <c r="E8" s="99"/>
      <c r="F8" s="99"/>
    </row>
    <row r="9" spans="1:6" s="98" customFormat="1" ht="55.5" customHeight="1">
      <c r="A9" s="114"/>
      <c r="B9" s="165" t="s">
        <v>224</v>
      </c>
      <c r="C9" s="100"/>
      <c r="D9" s="99"/>
      <c r="E9" s="99"/>
      <c r="F9" s="99"/>
    </row>
    <row r="10" spans="1:6" s="98" customFormat="1" ht="30" customHeight="1">
      <c r="A10" s="114"/>
      <c r="B10" s="165" t="s">
        <v>301</v>
      </c>
      <c r="C10" s="100"/>
      <c r="D10" s="99"/>
      <c r="E10" s="99"/>
      <c r="F10" s="99"/>
    </row>
    <row r="11" spans="1:6" ht="102">
      <c r="A11" s="54"/>
      <c r="B11" s="7" t="s">
        <v>223</v>
      </c>
      <c r="C11" s="27"/>
      <c r="D11" s="69"/>
      <c r="E11" s="40"/>
      <c r="F11" s="28"/>
    </row>
    <row r="12" spans="1:6" s="98" customFormat="1" ht="63.75">
      <c r="A12" s="114"/>
      <c r="B12" s="164" t="s">
        <v>68</v>
      </c>
      <c r="C12" s="100"/>
      <c r="D12" s="99"/>
      <c r="E12" s="99"/>
      <c r="F12" s="99"/>
    </row>
    <row r="13" spans="1:6" ht="12.75">
      <c r="A13" s="73"/>
      <c r="B13" s="74"/>
      <c r="C13" s="59"/>
      <c r="D13" s="3"/>
      <c r="E13" s="3"/>
      <c r="F13" s="3"/>
    </row>
    <row r="14" spans="1:6" ht="12.75">
      <c r="A14" s="73"/>
      <c r="B14" s="74"/>
      <c r="C14" s="59"/>
      <c r="D14" s="3"/>
      <c r="E14" s="3"/>
      <c r="F14" s="3"/>
    </row>
    <row r="15" spans="1:2" ht="89.25">
      <c r="A15" s="58">
        <f>A4+1</f>
        <v>201</v>
      </c>
      <c r="B15" s="83" t="s">
        <v>91</v>
      </c>
    </row>
    <row r="16" spans="1:2" ht="51">
      <c r="A16" s="58"/>
      <c r="B16" s="57" t="s">
        <v>92</v>
      </c>
    </row>
    <row r="17" spans="1:2" ht="25.5">
      <c r="A17" s="58"/>
      <c r="B17" s="75" t="s">
        <v>28</v>
      </c>
    </row>
    <row r="18" spans="1:2" ht="51">
      <c r="A18" s="58"/>
      <c r="B18" s="75" t="s">
        <v>29</v>
      </c>
    </row>
    <row r="19" spans="1:2" ht="89.25">
      <c r="A19" s="58"/>
      <c r="B19" s="75" t="s">
        <v>31</v>
      </c>
    </row>
    <row r="20" spans="1:2" ht="25.5">
      <c r="A20" s="58"/>
      <c r="B20" s="75" t="s">
        <v>30</v>
      </c>
    </row>
    <row r="21" spans="1:2" ht="12.75">
      <c r="A21" s="58"/>
      <c r="B21" s="75" t="s">
        <v>89</v>
      </c>
    </row>
    <row r="22" spans="1:6" ht="12.75">
      <c r="A22" s="54" t="s">
        <v>19</v>
      </c>
      <c r="B22" s="67" t="s">
        <v>287</v>
      </c>
      <c r="C22" s="27" t="s">
        <v>11</v>
      </c>
      <c r="D22" s="69">
        <f>(5.89*10-1.1*2.15)*1.01</f>
        <v>57.10035</v>
      </c>
      <c r="E22" s="40"/>
      <c r="F22" s="28"/>
    </row>
    <row r="23" spans="1:6" ht="12.75">
      <c r="A23" s="54"/>
      <c r="B23" s="144" t="s">
        <v>994</v>
      </c>
      <c r="C23" s="27"/>
      <c r="D23" s="69"/>
      <c r="E23" s="40"/>
      <c r="F23" s="28"/>
    </row>
    <row r="24" spans="1:6" ht="12.75">
      <c r="A24" s="54"/>
      <c r="B24" s="44"/>
      <c r="C24" s="65"/>
      <c r="D24" s="27"/>
      <c r="E24" s="40"/>
      <c r="F24" s="28"/>
    </row>
    <row r="25" spans="1:6" ht="63.75">
      <c r="A25" s="54">
        <f>A15+1</f>
        <v>202</v>
      </c>
      <c r="B25" s="158" t="s">
        <v>132</v>
      </c>
      <c r="C25" s="65"/>
      <c r="D25" s="27"/>
      <c r="E25" s="40"/>
      <c r="F25" s="28"/>
    </row>
    <row r="26" spans="1:6" ht="51">
      <c r="A26" s="54"/>
      <c r="B26" s="159" t="s">
        <v>418</v>
      </c>
      <c r="C26" s="65"/>
      <c r="D26" s="27"/>
      <c r="E26" s="40"/>
      <c r="F26" s="28"/>
    </row>
    <row r="27" spans="1:2" ht="51">
      <c r="A27" s="58"/>
      <c r="B27" s="75" t="s">
        <v>29</v>
      </c>
    </row>
    <row r="28" spans="1:2" ht="81.75" customHeight="1">
      <c r="A28" s="58"/>
      <c r="B28" s="75" t="s">
        <v>31</v>
      </c>
    </row>
    <row r="29" spans="1:6" ht="63.75">
      <c r="A29" s="54"/>
      <c r="B29" s="156" t="s">
        <v>1475</v>
      </c>
      <c r="C29" s="65"/>
      <c r="D29" s="27"/>
      <c r="E29" s="40"/>
      <c r="F29" s="28"/>
    </row>
    <row r="30" spans="1:6" ht="25.5">
      <c r="A30" s="54"/>
      <c r="B30" s="159" t="s">
        <v>131</v>
      </c>
      <c r="C30" s="65"/>
      <c r="D30" s="27"/>
      <c r="E30" s="40"/>
      <c r="F30" s="28"/>
    </row>
    <row r="31" spans="1:6" ht="25.5">
      <c r="A31" s="54"/>
      <c r="B31" s="159" t="s">
        <v>30</v>
      </c>
      <c r="C31" s="65"/>
      <c r="D31" s="27"/>
      <c r="E31" s="28"/>
      <c r="F31" s="28"/>
    </row>
    <row r="32" spans="1:6" ht="12.75">
      <c r="A32" s="54"/>
      <c r="B32" s="159"/>
      <c r="C32" s="65"/>
      <c r="D32" s="27"/>
      <c r="E32" s="28"/>
      <c r="F32" s="28"/>
    </row>
    <row r="33" spans="1:6" ht="25.5">
      <c r="A33" s="54" t="s">
        <v>39</v>
      </c>
      <c r="B33" s="160" t="s">
        <v>135</v>
      </c>
      <c r="C33" s="65"/>
      <c r="D33" s="27"/>
      <c r="E33" s="30"/>
      <c r="F33" s="30"/>
    </row>
    <row r="34" spans="1:6" ht="12.75">
      <c r="A34" s="54"/>
      <c r="B34" s="161" t="s">
        <v>133</v>
      </c>
      <c r="C34" s="65"/>
      <c r="D34" s="27"/>
      <c r="E34" s="30"/>
      <c r="F34" s="30"/>
    </row>
    <row r="35" spans="1:6" ht="25.5">
      <c r="A35" s="54"/>
      <c r="B35" s="161" t="s">
        <v>137</v>
      </c>
      <c r="C35" s="65"/>
      <c r="D35" s="27"/>
      <c r="E35" s="30"/>
      <c r="F35" s="30"/>
    </row>
    <row r="36" spans="1:6" ht="12.75">
      <c r="A36" s="54"/>
      <c r="B36" s="161" t="s">
        <v>133</v>
      </c>
      <c r="C36" s="65"/>
      <c r="D36" s="27"/>
      <c r="E36" s="30"/>
      <c r="F36" s="30"/>
    </row>
    <row r="37" spans="1:6" ht="12.75">
      <c r="A37" s="54"/>
      <c r="B37" s="11" t="s">
        <v>226</v>
      </c>
      <c r="C37" s="65"/>
      <c r="D37" s="27"/>
      <c r="E37" s="30"/>
      <c r="F37" s="30"/>
    </row>
    <row r="38" spans="1:6" ht="12.75">
      <c r="A38" s="54"/>
      <c r="B38" s="57"/>
      <c r="C38" s="65"/>
      <c r="D38" s="27"/>
      <c r="E38" s="30"/>
      <c r="F38" s="30"/>
    </row>
    <row r="39" spans="1:2" ht="12.75">
      <c r="A39" s="54"/>
      <c r="B39" s="67" t="s">
        <v>286</v>
      </c>
    </row>
    <row r="40" spans="1:4" ht="76.5">
      <c r="A40" s="54"/>
      <c r="B40" s="57" t="s">
        <v>992</v>
      </c>
      <c r="C40" s="27" t="s">
        <v>11</v>
      </c>
      <c r="D40" s="41">
        <f>(4.92*(4.08*3+4.16*5+2.75+3.85+5.81+7.88+15.48+28.28+9.7+3.03+2.63+4.35+15.44+2.73+5.45+5.5*2+1.96*2+3.18+2.75+4.05*2+1.57+3.88+7.65+2.6*2+2.75+2.15+5.45+0.8+7.06*2)-0.9*2.15*26-1*2.15-3*3.03-3*1.58*2-1*1.96)*1.01</f>
        <v>984.4215479999998</v>
      </c>
    </row>
    <row r="41" spans="1:6" ht="38.25">
      <c r="A41" s="54"/>
      <c r="B41" s="159" t="s">
        <v>993</v>
      </c>
      <c r="C41" s="76" t="s">
        <v>11</v>
      </c>
      <c r="D41" s="71">
        <f>(3.82*(4.06*6-0.25*2+35.6-0.4*5+3.7*2+9.7+9.5+2.9*2+1.85+5.6+3.95+2.5*2+9.71*3+3.93*3-0.2)-0.9*2.15*15-1.6*2.15*1)*1.01</f>
        <v>534.2885859999999</v>
      </c>
      <c r="E41" s="4"/>
      <c r="F41" s="4"/>
    </row>
    <row r="42" spans="1:6" ht="12.75">
      <c r="A42" s="54"/>
      <c r="C42" s="27" t="s">
        <v>11</v>
      </c>
      <c r="D42" s="69">
        <f>SUM(D40:D41)</f>
        <v>1518.7101339999997</v>
      </c>
      <c r="E42" s="40"/>
      <c r="F42" s="28"/>
    </row>
    <row r="43" spans="1:6" ht="12.75">
      <c r="A43" s="54"/>
      <c r="C43" s="27"/>
      <c r="D43" s="69"/>
      <c r="E43" s="40"/>
      <c r="F43" s="28"/>
    </row>
    <row r="44" spans="1:6" ht="12.75">
      <c r="A44" s="54"/>
      <c r="B44" s="67" t="s">
        <v>156</v>
      </c>
      <c r="C44" s="27"/>
      <c r="D44" s="69"/>
      <c r="E44" s="40"/>
      <c r="F44" s="28"/>
    </row>
    <row r="45" spans="1:6" ht="102">
      <c r="A45" s="54"/>
      <c r="B45" s="70" t="s">
        <v>989</v>
      </c>
      <c r="C45" s="27" t="s">
        <v>11</v>
      </c>
      <c r="D45" s="69">
        <f>(4.82*(12.77+4.65+2.2+3.6*2+2.3+2.34*2+6.01+2.05+5.45*16-1.55-1.5-2.3*5+5.95*2+6.05+2.45+6.4+30.1+3.3+3.12+3.65*2+9.27*3-0.21-0.4-3.51+1.2+21.3+1.95+0.7+11.4+3.35+1.7)-0.9*2.15*6-1.6*2.15*8-0.9*2.15-1.74*1.15-1.2*2.15*10-1.06*2.15-0.9*2.15+1.32*(2.76+3.1+5.5+5.55))*1.01</f>
        <v>1167.8282560000005</v>
      </c>
      <c r="E45" s="40"/>
      <c r="F45" s="28"/>
    </row>
    <row r="46" spans="1:6" ht="76.5">
      <c r="A46" s="54"/>
      <c r="B46" s="70" t="s">
        <v>990</v>
      </c>
      <c r="C46" s="27" t="s">
        <v>11</v>
      </c>
      <c r="D46" s="69">
        <f>(3.82*(31.67+6.06*4+5.6*11+6.66*2+1.03*2+8.4+2.34+3.66*8+3.26+24.25+3.65+3.06*2+3.45*2+2.8+5.01+2.2*2+5.31+3.8+7.1+4.02*2+26+3.45*2+3.66*5+6.5+2.75)+1.02*(3.05*2+3.26+2*2+3.91*2+4.03)-1.2*2.15*11-0.9*2.15*25-2*2.8-4.02*1.15)*1.01</f>
        <v>1149.598362</v>
      </c>
      <c r="E46" s="40"/>
      <c r="F46" s="28"/>
    </row>
    <row r="47" spans="1:6" ht="76.5">
      <c r="A47" s="54"/>
      <c r="B47" s="70" t="s">
        <v>991</v>
      </c>
      <c r="C47" s="76" t="s">
        <v>11</v>
      </c>
      <c r="D47" s="85">
        <f>(3.82*(6.05*2+5.6*15+14.25+3.61*3+1.84+4.05*2+6.06*3+21.25+3.75+3*2+2.65+3.61*4+3.01+3.89+35.96+2.62+6.66+3.89*5+24+5.8+3.66*6+4.62+3+1.05+3.8+2.55+2.5+2)+1.05*(2*2+3.05*2)-1.2*2.15*11-0.9*2.15*14)*1.01</f>
        <v>1267.477482</v>
      </c>
      <c r="E47" s="90"/>
      <c r="F47" s="91"/>
    </row>
    <row r="48" spans="1:6" ht="12.75">
      <c r="A48" s="54"/>
      <c r="C48" s="86" t="s">
        <v>11</v>
      </c>
      <c r="D48" s="69">
        <f>SUM(D45:D47)</f>
        <v>3584.9041000000007</v>
      </c>
      <c r="E48" s="40"/>
      <c r="F48" s="28"/>
    </row>
    <row r="49" spans="1:6" ht="12.75">
      <c r="A49" s="54"/>
      <c r="C49" s="27"/>
      <c r="D49" s="69"/>
      <c r="E49" s="40"/>
      <c r="F49" s="28"/>
    </row>
    <row r="50" spans="1:6" ht="12.75">
      <c r="A50" s="54"/>
      <c r="B50" s="67" t="s">
        <v>302</v>
      </c>
      <c r="C50" s="27"/>
      <c r="D50" s="69"/>
      <c r="E50" s="40"/>
      <c r="F50" s="28"/>
    </row>
    <row r="51" spans="1:6" ht="25.5">
      <c r="A51" s="54"/>
      <c r="B51" s="57" t="s">
        <v>985</v>
      </c>
      <c r="C51" s="27" t="s">
        <v>11</v>
      </c>
      <c r="D51" s="69">
        <f>3.45*(3.25*2+3.3)-0.9*2.15*1+1.65*(2.3+2.68+5.6)</f>
        <v>49.33200000000001</v>
      </c>
      <c r="E51" s="40"/>
      <c r="F51" s="28"/>
    </row>
    <row r="52" spans="1:6" ht="51">
      <c r="A52" s="54"/>
      <c r="B52" s="177" t="s">
        <v>986</v>
      </c>
      <c r="C52" s="27" t="s">
        <v>11</v>
      </c>
      <c r="D52" s="69">
        <f>4.92*(36.01+8.31*2+3.78+5+3.5+1.9+3.55+5.45+2.1*2+1.85)-1.6*2.15*3-0.9*2.15*5-1.2*2.15*1+1.42*(6.06+2+8.8+9.8)+1.75*5.6</f>
        <v>427.8334</v>
      </c>
      <c r="E52" s="40"/>
      <c r="F52" s="28"/>
    </row>
    <row r="53" spans="1:6" ht="51">
      <c r="A53" s="54"/>
      <c r="B53" s="70" t="s">
        <v>987</v>
      </c>
      <c r="C53" s="27" t="s">
        <v>11</v>
      </c>
      <c r="D53" s="69">
        <f>3.82*(36.02+27.01+6.56*6+3.41*2+6.2+2.55+24.21+5.6+2.75+6.96*5-0.4+1.4+6.21)-1.6*2.15*6-1.2*2.15*8-0.9*2.15*9</f>
        <v>676.7696000000001</v>
      </c>
      <c r="E53" s="40"/>
      <c r="F53" s="28"/>
    </row>
    <row r="54" spans="1:6" ht="51">
      <c r="A54" s="54"/>
      <c r="B54" s="70" t="s">
        <v>988</v>
      </c>
      <c r="C54" s="76" t="s">
        <v>11</v>
      </c>
      <c r="D54" s="85">
        <f>3.82*(5.81+8.6+6.46+18.06+3.41*2+6.2+2.55+5.6*3+2.65*2+2.45+8.66*5+23.96+4.02+27.06)-1.6*2.15*2-1.2*2.15*4-0.9*2.15*13</f>
        <v>635.2748</v>
      </c>
      <c r="E54" s="90"/>
      <c r="F54" s="91"/>
    </row>
    <row r="55" spans="1:6" ht="12.75">
      <c r="A55" s="54"/>
      <c r="C55" s="27" t="s">
        <v>11</v>
      </c>
      <c r="D55" s="69">
        <f>SUM(D51:D54)</f>
        <v>1789.2098</v>
      </c>
      <c r="E55" s="40"/>
      <c r="F55" s="28"/>
    </row>
    <row r="56" spans="1:6" ht="12.75">
      <c r="A56" s="54"/>
      <c r="C56" s="27"/>
      <c r="D56" s="69"/>
      <c r="E56" s="40"/>
      <c r="F56" s="28"/>
    </row>
    <row r="57" spans="1:6" ht="25.5">
      <c r="A57" s="54" t="s">
        <v>40</v>
      </c>
      <c r="B57" s="160" t="s">
        <v>134</v>
      </c>
      <c r="C57" s="27"/>
      <c r="D57" s="69"/>
      <c r="E57" s="40"/>
      <c r="F57" s="28"/>
    </row>
    <row r="58" spans="1:6" ht="25.5">
      <c r="A58" s="54"/>
      <c r="B58" s="161" t="s">
        <v>138</v>
      </c>
      <c r="C58" s="27"/>
      <c r="D58" s="69"/>
      <c r="E58" s="40"/>
      <c r="F58" s="28"/>
    </row>
    <row r="59" spans="1:6" ht="25.5">
      <c r="A59" s="54"/>
      <c r="B59" s="161" t="s">
        <v>136</v>
      </c>
      <c r="C59" s="65"/>
      <c r="D59" s="27"/>
      <c r="E59" s="40"/>
      <c r="F59" s="28"/>
    </row>
    <row r="60" spans="1:6" ht="12.75">
      <c r="A60" s="54"/>
      <c r="B60" s="161" t="s">
        <v>133</v>
      </c>
      <c r="C60" s="65"/>
      <c r="D60" s="27"/>
      <c r="E60" s="28"/>
      <c r="F60" s="28"/>
    </row>
    <row r="61" spans="1:6" ht="12.75">
      <c r="A61" s="54"/>
      <c r="B61" s="151" t="s">
        <v>433</v>
      </c>
      <c r="C61" s="65"/>
      <c r="D61" s="27"/>
      <c r="E61" s="30"/>
      <c r="F61" s="30"/>
    </row>
    <row r="62" spans="1:6" ht="12.75">
      <c r="A62" s="54"/>
      <c r="B62" s="67" t="s">
        <v>286</v>
      </c>
      <c r="C62" s="65"/>
      <c r="D62" s="27"/>
      <c r="E62" s="30"/>
      <c r="F62" s="30"/>
    </row>
    <row r="63" spans="1:6" ht="38.25">
      <c r="A63" s="54"/>
      <c r="B63" s="57" t="s">
        <v>983</v>
      </c>
      <c r="C63" s="27" t="s">
        <v>11</v>
      </c>
      <c r="D63" s="69">
        <f>(4.92*(4.08+3.77+3.15*2+3.45+3.7*2+2.55+2.58+4.35+2.85+2.5+2.46)-0.9*2.15*6)*1.01</f>
        <v>198.42136800000006</v>
      </c>
      <c r="E63" s="30"/>
      <c r="F63" s="30"/>
    </row>
    <row r="64" spans="1:6" ht="25.5">
      <c r="A64" s="54"/>
      <c r="B64" s="159" t="s">
        <v>984</v>
      </c>
      <c r="C64" s="76" t="s">
        <v>11</v>
      </c>
      <c r="D64" s="85">
        <f>(3.82*(3.24*2+3.5+3.76+7.55)-0.9*2.15*2)*1.01</f>
        <v>78.232378</v>
      </c>
      <c r="E64" s="77"/>
      <c r="F64" s="77"/>
    </row>
    <row r="65" spans="1:6" ht="12.75">
      <c r="A65" s="55"/>
      <c r="B65" s="29"/>
      <c r="C65" s="27" t="s">
        <v>11</v>
      </c>
      <c r="D65" s="69">
        <f>SUM(D63:D64)</f>
        <v>276.65374600000007</v>
      </c>
      <c r="E65" s="40"/>
      <c r="F65" s="28"/>
    </row>
    <row r="66" spans="1:6" ht="12.75">
      <c r="A66" s="55"/>
      <c r="B66" s="29"/>
      <c r="C66" s="27"/>
      <c r="D66" s="69"/>
      <c r="E66" s="40"/>
      <c r="F66" s="28"/>
    </row>
    <row r="67" spans="1:6" ht="12.75">
      <c r="A67" s="54"/>
      <c r="B67" s="67" t="s">
        <v>156</v>
      </c>
      <c r="C67" s="27"/>
      <c r="D67" s="69"/>
      <c r="E67" s="40"/>
      <c r="F67" s="28"/>
    </row>
    <row r="68" spans="1:6" ht="38.25">
      <c r="A68" s="54"/>
      <c r="B68" s="70" t="s">
        <v>980</v>
      </c>
      <c r="C68" s="27" t="s">
        <v>11</v>
      </c>
      <c r="D68" s="69">
        <f>(4.82*(3.62*2+6.42+1.5*2+6.64*2+3.66*2+3.51*2+1.5*2+5.4+6.08+1.66*2)-0.9*2.15*8)*1.01</f>
        <v>286.58305599999994</v>
      </c>
      <c r="E68" s="40"/>
      <c r="F68" s="28"/>
    </row>
    <row r="69" spans="1:6" ht="25.5">
      <c r="A69" s="54"/>
      <c r="B69" s="70" t="s">
        <v>981</v>
      </c>
      <c r="C69" s="27" t="s">
        <v>11</v>
      </c>
      <c r="D69" s="69">
        <f>(3.82*(3.85+4.06+8.75+3.5+3.06*2+5.6*3)-0.9*2.15*3)*1.01</f>
        <v>160.34820599999998</v>
      </c>
      <c r="E69" s="40"/>
      <c r="F69" s="28"/>
    </row>
    <row r="70" spans="1:6" ht="38.25">
      <c r="A70" s="54"/>
      <c r="B70" s="70" t="s">
        <v>982</v>
      </c>
      <c r="C70" s="76" t="s">
        <v>11</v>
      </c>
      <c r="D70" s="85">
        <f>(3.82*(3.9*2+4*2+6.65+3.6+5.91*2+4.3+1.47*2+3.5+1.56*2)-0.9*2.15*3)*1.01</f>
        <v>193.72163599999996</v>
      </c>
      <c r="E70" s="90"/>
      <c r="F70" s="91"/>
    </row>
    <row r="71" spans="1:6" ht="12.75">
      <c r="A71" s="54"/>
      <c r="C71" s="86" t="s">
        <v>11</v>
      </c>
      <c r="D71" s="69">
        <f>SUM(D68:D70)</f>
        <v>640.6528979999999</v>
      </c>
      <c r="E71" s="40"/>
      <c r="F71" s="28"/>
    </row>
    <row r="72" spans="1:6" ht="12.75">
      <c r="A72" s="55"/>
      <c r="B72" s="29"/>
      <c r="C72" s="27"/>
      <c r="D72" s="69"/>
      <c r="E72" s="40"/>
      <c r="F72" s="28"/>
    </row>
    <row r="73" spans="1:6" ht="12.75">
      <c r="A73" s="55"/>
      <c r="B73" s="29"/>
      <c r="C73" s="27"/>
      <c r="D73" s="69"/>
      <c r="E73" s="40"/>
      <c r="F73" s="28"/>
    </row>
    <row r="74" spans="1:6" ht="12.75">
      <c r="A74" s="54"/>
      <c r="B74" s="67" t="s">
        <v>302</v>
      </c>
      <c r="C74" s="27"/>
      <c r="D74" s="69"/>
      <c r="E74" s="40"/>
      <c r="F74" s="28"/>
    </row>
    <row r="75" spans="1:6" ht="38.25">
      <c r="A75" s="54"/>
      <c r="B75" s="202" t="s">
        <v>976</v>
      </c>
      <c r="C75" s="27" t="s">
        <v>11</v>
      </c>
      <c r="D75" s="69">
        <f>3.45*(6.6+2.05*2+2.35)+3.97*(5.98+0.4+2.15)-0.9*2.15*3</f>
        <v>73.08160000000001</v>
      </c>
      <c r="E75" s="40"/>
      <c r="F75" s="28"/>
    </row>
    <row r="76" spans="1:6" ht="12.75">
      <c r="A76" s="54"/>
      <c r="B76" s="2" t="s">
        <v>977</v>
      </c>
      <c r="C76" s="27" t="s">
        <v>11</v>
      </c>
      <c r="D76" s="69">
        <f>4.5*6.02-0.9*2.15*2-1.1*2.15*1</f>
        <v>20.854999999999997</v>
      </c>
      <c r="E76" s="40"/>
      <c r="F76" s="28"/>
    </row>
    <row r="77" spans="1:6" ht="12.75">
      <c r="A77" s="54"/>
      <c r="B77" s="70" t="s">
        <v>978</v>
      </c>
      <c r="C77" s="27" t="s">
        <v>11</v>
      </c>
      <c r="D77" s="69">
        <f>3.82*6.02-0.9*2.15*2-1.1*2.15</f>
        <v>16.761399999999995</v>
      </c>
      <c r="E77" s="40"/>
      <c r="F77" s="28"/>
    </row>
    <row r="78" spans="1:6" ht="12.75">
      <c r="A78" s="54"/>
      <c r="B78" s="70" t="s">
        <v>979</v>
      </c>
      <c r="C78" s="76" t="s">
        <v>11</v>
      </c>
      <c r="D78" s="85">
        <f>3.82*6.02-0.9*2.15*2-1.1*2.15</f>
        <v>16.761399999999995</v>
      </c>
      <c r="E78" s="90"/>
      <c r="F78" s="91"/>
    </row>
    <row r="79" spans="1:6" ht="12.75">
      <c r="A79" s="54"/>
      <c r="C79" s="27" t="s">
        <v>11</v>
      </c>
      <c r="D79" s="69">
        <f>SUM(D75:D78)</f>
        <v>127.45939999999999</v>
      </c>
      <c r="E79" s="40"/>
      <c r="F79" s="28"/>
    </row>
    <row r="80" spans="1:6" ht="12.75">
      <c r="A80" s="55"/>
      <c r="B80" s="29"/>
      <c r="C80" s="27"/>
      <c r="D80" s="69"/>
      <c r="E80" s="40"/>
      <c r="F80" s="28"/>
    </row>
    <row r="81" spans="1:6" ht="25.5">
      <c r="A81" s="54" t="s">
        <v>41</v>
      </c>
      <c r="B81" s="160" t="s">
        <v>134</v>
      </c>
      <c r="C81" s="27"/>
      <c r="D81" s="69"/>
      <c r="E81" s="40"/>
      <c r="F81" s="28"/>
    </row>
    <row r="82" spans="1:6" ht="25.5">
      <c r="A82" s="55"/>
      <c r="B82" s="161" t="s">
        <v>138</v>
      </c>
      <c r="C82" s="65"/>
      <c r="D82" s="27"/>
      <c r="E82" s="30"/>
      <c r="F82" s="30"/>
    </row>
    <row r="83" spans="1:6" ht="25.5">
      <c r="A83" s="54"/>
      <c r="B83" s="161" t="s">
        <v>136</v>
      </c>
      <c r="C83" s="65"/>
      <c r="D83" s="27"/>
      <c r="E83" s="30"/>
      <c r="F83" s="30"/>
    </row>
    <row r="84" spans="1:6" ht="25.5">
      <c r="A84" s="54"/>
      <c r="B84" s="161" t="s">
        <v>138</v>
      </c>
      <c r="C84" s="65"/>
      <c r="D84" s="27"/>
      <c r="E84" s="30"/>
      <c r="F84" s="30"/>
    </row>
    <row r="85" spans="1:6" ht="12.75">
      <c r="A85" s="54"/>
      <c r="B85" s="151" t="s">
        <v>35</v>
      </c>
      <c r="C85" s="65"/>
      <c r="D85" s="27"/>
      <c r="E85" s="30"/>
      <c r="F85" s="30"/>
    </row>
    <row r="86" spans="1:6" ht="12.75">
      <c r="A86" s="54"/>
      <c r="B86" s="67" t="s">
        <v>286</v>
      </c>
      <c r="C86" s="65"/>
      <c r="D86" s="27"/>
      <c r="E86" s="30"/>
      <c r="F86" s="30"/>
    </row>
    <row r="87" spans="1:6" ht="12.75">
      <c r="A87" s="54"/>
      <c r="B87" s="57" t="s">
        <v>975</v>
      </c>
      <c r="C87" s="76" t="s">
        <v>11</v>
      </c>
      <c r="D87" s="85">
        <f>4.92*2.7*1.01</f>
        <v>13.41684</v>
      </c>
      <c r="E87" s="77"/>
      <c r="F87" s="77"/>
    </row>
    <row r="88" spans="1:6" ht="12.75">
      <c r="A88" s="55"/>
      <c r="B88" s="29"/>
      <c r="C88" s="27" t="s">
        <v>11</v>
      </c>
      <c r="D88" s="69">
        <f>SUM(D87:D87)</f>
        <v>13.41684</v>
      </c>
      <c r="E88" s="40"/>
      <c r="F88" s="28"/>
    </row>
    <row r="89" spans="1:6" ht="12.75">
      <c r="A89" s="54"/>
      <c r="B89" s="67" t="s">
        <v>156</v>
      </c>
      <c r="C89" s="27"/>
      <c r="D89" s="69"/>
      <c r="E89" s="40"/>
      <c r="F89" s="28"/>
    </row>
    <row r="90" spans="1:6" ht="12.75">
      <c r="A90" s="54"/>
      <c r="B90" s="70" t="s">
        <v>972</v>
      </c>
      <c r="C90" s="27" t="s">
        <v>11</v>
      </c>
      <c r="D90" s="69">
        <f>4.82*(3.84+3.5+1.52*2)*1.01</f>
        <v>50.531915999999995</v>
      </c>
      <c r="E90" s="40"/>
      <c r="F90" s="28"/>
    </row>
    <row r="91" spans="1:6" ht="12.75">
      <c r="A91" s="54"/>
      <c r="B91" s="70" t="s">
        <v>973</v>
      </c>
      <c r="C91" s="27" t="s">
        <v>11</v>
      </c>
      <c r="D91" s="69">
        <f>3.82*(1.56*2+1.2+2.61+3.5)*1.01</f>
        <v>40.241026</v>
      </c>
      <c r="E91" s="40"/>
      <c r="F91" s="28"/>
    </row>
    <row r="92" spans="1:6" ht="12.75">
      <c r="A92" s="54"/>
      <c r="B92" s="70" t="s">
        <v>974</v>
      </c>
      <c r="C92" s="76" t="s">
        <v>11</v>
      </c>
      <c r="D92" s="85">
        <f>3.82*(1.32+3.5+1.56*2+1.47*2+4.3)*1.01</f>
        <v>58.56747599999999</v>
      </c>
      <c r="E92" s="90"/>
      <c r="F92" s="91"/>
    </row>
    <row r="93" spans="1:6" ht="12.75">
      <c r="A93" s="54"/>
      <c r="B93" s="70"/>
      <c r="C93" s="27" t="s">
        <v>11</v>
      </c>
      <c r="D93" s="69">
        <f>SUM(D90:D92)</f>
        <v>149.340418</v>
      </c>
      <c r="E93" s="40"/>
      <c r="F93" s="28"/>
    </row>
    <row r="94" spans="1:6" ht="12.75">
      <c r="A94" s="54"/>
      <c r="B94" s="70"/>
      <c r="C94" s="27"/>
      <c r="D94" s="69"/>
      <c r="E94" s="40"/>
      <c r="F94" s="28"/>
    </row>
    <row r="95" spans="1:6" ht="12.75">
      <c r="A95" s="54"/>
      <c r="B95" s="67" t="s">
        <v>302</v>
      </c>
      <c r="C95" s="27"/>
      <c r="D95" s="69"/>
      <c r="E95" s="40"/>
      <c r="F95" s="28"/>
    </row>
    <row r="96" spans="1:6" ht="12.75">
      <c r="A96" s="54"/>
      <c r="B96" s="70" t="s">
        <v>969</v>
      </c>
      <c r="C96" s="27" t="s">
        <v>11</v>
      </c>
      <c r="D96" s="69">
        <f>4.5*(2.19*2+3.5)</f>
        <v>35.46</v>
      </c>
      <c r="E96" s="40"/>
      <c r="F96" s="28"/>
    </row>
    <row r="97" spans="1:6" ht="12.75">
      <c r="A97" s="54"/>
      <c r="B97" s="70" t="s">
        <v>970</v>
      </c>
      <c r="C97" s="27" t="s">
        <v>11</v>
      </c>
      <c r="D97" s="69">
        <f>3.82*(2.19*2+3.5)</f>
        <v>30.101599999999998</v>
      </c>
      <c r="E97" s="40"/>
      <c r="F97" s="28"/>
    </row>
    <row r="98" spans="1:6" ht="12.75">
      <c r="A98" s="54"/>
      <c r="B98" s="70" t="s">
        <v>971</v>
      </c>
      <c r="C98" s="76" t="s">
        <v>11</v>
      </c>
      <c r="D98" s="85">
        <f>3.82*(2.19*2+3.5)</f>
        <v>30.101599999999998</v>
      </c>
      <c r="E98" s="90"/>
      <c r="F98" s="91"/>
    </row>
    <row r="99" spans="1:6" ht="12.75">
      <c r="A99" s="54"/>
      <c r="B99" s="70"/>
      <c r="C99" s="27" t="s">
        <v>11</v>
      </c>
      <c r="D99" s="69">
        <f>SUM(D96:D98)</f>
        <v>95.66319999999999</v>
      </c>
      <c r="E99" s="40"/>
      <c r="F99" s="28"/>
    </row>
    <row r="100" spans="1:6" ht="12.75">
      <c r="A100" s="54"/>
      <c r="B100" s="29"/>
      <c r="C100" s="65"/>
      <c r="D100" s="27"/>
      <c r="E100" s="30"/>
      <c r="F100" s="30"/>
    </row>
    <row r="101" spans="1:6" ht="38.25">
      <c r="A101" s="54" t="s">
        <v>42</v>
      </c>
      <c r="B101" s="162" t="s">
        <v>139</v>
      </c>
      <c r="C101" s="65"/>
      <c r="D101" s="27"/>
      <c r="E101" s="30"/>
      <c r="F101" s="30"/>
    </row>
    <row r="102" spans="1:6" ht="25.5">
      <c r="A102" s="54"/>
      <c r="B102" s="163" t="s">
        <v>140</v>
      </c>
      <c r="C102" s="65"/>
      <c r="D102" s="27"/>
      <c r="E102" s="30"/>
      <c r="F102" s="30"/>
    </row>
    <row r="103" spans="1:6" ht="25.5">
      <c r="A103" s="54"/>
      <c r="B103" s="163" t="s">
        <v>143</v>
      </c>
      <c r="C103" s="65"/>
      <c r="D103" s="27"/>
      <c r="E103" s="30"/>
      <c r="F103" s="30"/>
    </row>
    <row r="104" spans="1:6" ht="25.5">
      <c r="A104" s="54"/>
      <c r="B104" s="163" t="s">
        <v>140</v>
      </c>
      <c r="C104" s="65"/>
      <c r="D104" s="27"/>
      <c r="E104" s="30"/>
      <c r="F104" s="30"/>
    </row>
    <row r="105" spans="1:6" ht="51">
      <c r="A105" s="54"/>
      <c r="B105" s="162" t="s">
        <v>141</v>
      </c>
      <c r="C105" s="65"/>
      <c r="D105" s="27"/>
      <c r="E105" s="30"/>
      <c r="F105" s="30"/>
    </row>
    <row r="106" spans="1:6" ht="12.75">
      <c r="A106" s="54"/>
      <c r="B106" s="75" t="s">
        <v>46</v>
      </c>
      <c r="C106" s="65"/>
      <c r="D106" s="27"/>
      <c r="E106" s="30"/>
      <c r="F106" s="30"/>
    </row>
    <row r="107" spans="1:6" ht="12.75">
      <c r="A107" s="54"/>
      <c r="B107" s="67" t="s">
        <v>286</v>
      </c>
      <c r="C107" s="65"/>
      <c r="D107" s="27"/>
      <c r="E107" s="30"/>
      <c r="F107" s="30"/>
    </row>
    <row r="108" spans="1:6" ht="12.75">
      <c r="A108" s="54"/>
      <c r="B108" s="70" t="s">
        <v>967</v>
      </c>
      <c r="C108" s="27" t="s">
        <v>11</v>
      </c>
      <c r="D108" s="69">
        <f>(3.82*(3.35+3.6+4.28*2)-1.2*2.15)*1.01</f>
        <v>57.234882000000006</v>
      </c>
      <c r="E108" s="30"/>
      <c r="F108" s="30"/>
    </row>
    <row r="109" spans="1:6" ht="25.5">
      <c r="A109" s="54"/>
      <c r="B109" s="57" t="s">
        <v>968</v>
      </c>
      <c r="C109" s="76" t="s">
        <v>11</v>
      </c>
      <c r="D109" s="85">
        <f>(3.82*(15.15+12.52)+5.9*1.25*2-1.6*2.15*2)*1</f>
        <v>113.5694</v>
      </c>
      <c r="E109" s="77"/>
      <c r="F109" s="77"/>
    </row>
    <row r="110" spans="1:6" ht="12.75">
      <c r="A110" s="55"/>
      <c r="B110" s="29"/>
      <c r="C110" s="27" t="s">
        <v>11</v>
      </c>
      <c r="D110" s="69">
        <f>SUM(D108:D109)</f>
        <v>170.804282</v>
      </c>
      <c r="E110" s="40"/>
      <c r="F110" s="28"/>
    </row>
    <row r="111" spans="1:6" ht="12.75">
      <c r="A111" s="55"/>
      <c r="B111" s="29"/>
      <c r="C111" s="27"/>
      <c r="D111" s="69"/>
      <c r="E111" s="40"/>
      <c r="F111" s="28"/>
    </row>
    <row r="112" spans="1:6" ht="25.5">
      <c r="A112" s="54" t="s">
        <v>43</v>
      </c>
      <c r="B112" s="160" t="s">
        <v>142</v>
      </c>
      <c r="C112" s="27"/>
      <c r="D112" s="69"/>
      <c r="E112" s="40"/>
      <c r="F112" s="28"/>
    </row>
    <row r="113" spans="1:6" ht="25.5">
      <c r="A113" s="55"/>
      <c r="B113" s="161" t="s">
        <v>138</v>
      </c>
      <c r="C113" s="27"/>
      <c r="D113" s="69"/>
      <c r="E113" s="40"/>
      <c r="F113" s="28"/>
    </row>
    <row r="114" spans="1:6" ht="25.5">
      <c r="A114" s="55"/>
      <c r="B114" s="161" t="s">
        <v>144</v>
      </c>
      <c r="C114" s="27"/>
      <c r="D114" s="69"/>
      <c r="E114" s="40"/>
      <c r="F114" s="28"/>
    </row>
    <row r="115" spans="1:6" ht="12.75">
      <c r="A115" s="54"/>
      <c r="B115" s="161" t="s">
        <v>133</v>
      </c>
      <c r="C115" s="65"/>
      <c r="D115" s="27"/>
      <c r="E115" s="30"/>
      <c r="F115" s="30"/>
    </row>
    <row r="116" spans="1:6" ht="12.75">
      <c r="A116" s="54"/>
      <c r="B116" s="151" t="s">
        <v>36</v>
      </c>
      <c r="C116" s="65"/>
      <c r="D116" s="27"/>
      <c r="E116" s="30"/>
      <c r="F116" s="30"/>
    </row>
    <row r="117" spans="1:6" ht="12.75">
      <c r="A117" s="54"/>
      <c r="B117" s="67" t="s">
        <v>286</v>
      </c>
      <c r="C117" s="65"/>
      <c r="D117" s="27"/>
      <c r="E117" s="30"/>
      <c r="F117" s="30"/>
    </row>
    <row r="118" spans="1:6" ht="12.75">
      <c r="A118" s="54"/>
      <c r="B118" s="57" t="s">
        <v>965</v>
      </c>
      <c r="C118" s="27" t="s">
        <v>11</v>
      </c>
      <c r="D118" s="69">
        <f>4.92*3.17*2*1.01</f>
        <v>31.504728</v>
      </c>
      <c r="E118" s="30"/>
      <c r="F118" s="30"/>
    </row>
    <row r="119" spans="1:6" ht="12.75">
      <c r="A119" s="54"/>
      <c r="B119" s="70" t="s">
        <v>966</v>
      </c>
      <c r="C119" s="76" t="s">
        <v>11</v>
      </c>
      <c r="D119" s="85">
        <f>3.82*3.17*2*1.01</f>
        <v>24.460987999999997</v>
      </c>
      <c r="E119" s="77"/>
      <c r="F119" s="77"/>
    </row>
    <row r="120" spans="1:6" ht="12.75">
      <c r="A120" s="55"/>
      <c r="B120" s="29"/>
      <c r="C120" s="27" t="s">
        <v>11</v>
      </c>
      <c r="D120" s="69">
        <f>SUM(D118:D119)</f>
        <v>55.965716</v>
      </c>
      <c r="E120" s="40"/>
      <c r="F120" s="28"/>
    </row>
    <row r="121" spans="1:6" ht="12.75">
      <c r="A121" s="55"/>
      <c r="B121" s="29"/>
      <c r="C121" s="27"/>
      <c r="D121" s="69"/>
      <c r="E121" s="40"/>
      <c r="F121" s="28"/>
    </row>
    <row r="122" spans="1:6" ht="12.75">
      <c r="A122" s="55"/>
      <c r="B122" s="67" t="s">
        <v>168</v>
      </c>
      <c r="C122" s="27"/>
      <c r="D122" s="69"/>
      <c r="E122" s="40"/>
      <c r="F122" s="28"/>
    </row>
    <row r="123" spans="1:6" ht="12.75">
      <c r="A123" s="55"/>
      <c r="B123" s="44" t="s">
        <v>961</v>
      </c>
      <c r="C123" s="27" t="s">
        <v>11</v>
      </c>
      <c r="D123" s="69">
        <f>3.65*(1.85+0.25+1.1)*1.01</f>
        <v>11.7968</v>
      </c>
      <c r="E123" s="40"/>
      <c r="F123" s="28"/>
    </row>
    <row r="124" spans="1:6" ht="12.75">
      <c r="A124" s="55"/>
      <c r="B124" s="44" t="s">
        <v>962</v>
      </c>
      <c r="C124" s="27" t="s">
        <v>11</v>
      </c>
      <c r="D124" s="69">
        <f>4.82*2.05*4*1.01</f>
        <v>39.91924</v>
      </c>
      <c r="E124" s="40"/>
      <c r="F124" s="28"/>
    </row>
    <row r="125" spans="1:6" ht="12.75">
      <c r="A125" s="55"/>
      <c r="B125" s="70" t="s">
        <v>963</v>
      </c>
      <c r="C125" s="27" t="s">
        <v>11</v>
      </c>
      <c r="D125" s="69">
        <f>3.82*(2.05*2+3.37*2)*1.01</f>
        <v>41.822888</v>
      </c>
      <c r="E125" s="30"/>
      <c r="F125" s="30"/>
    </row>
    <row r="126" spans="1:6" ht="12.75">
      <c r="A126" s="55"/>
      <c r="B126" s="57" t="s">
        <v>964</v>
      </c>
      <c r="C126" s="76" t="s">
        <v>11</v>
      </c>
      <c r="D126" s="85">
        <f>3.82*(2.05+2.1*2)*1.01</f>
        <v>24.11375</v>
      </c>
      <c r="E126" s="77"/>
      <c r="F126" s="77"/>
    </row>
    <row r="127" spans="1:6" ht="12.75">
      <c r="A127" s="55"/>
      <c r="B127" s="29"/>
      <c r="C127" s="27" t="s">
        <v>11</v>
      </c>
      <c r="D127" s="69">
        <f>SUM(D123:D126)</f>
        <v>117.652678</v>
      </c>
      <c r="E127" s="40"/>
      <c r="F127" s="28"/>
    </row>
    <row r="128" spans="1:6" ht="12.75">
      <c r="A128" s="55"/>
      <c r="B128" s="29"/>
      <c r="C128" s="27"/>
      <c r="D128" s="69"/>
      <c r="E128" s="40"/>
      <c r="F128" s="28"/>
    </row>
    <row r="129" spans="1:6" ht="12.75">
      <c r="A129" s="55"/>
      <c r="B129" s="67" t="s">
        <v>302</v>
      </c>
      <c r="C129" s="27"/>
      <c r="D129" s="69"/>
      <c r="E129" s="40"/>
      <c r="F129" s="28"/>
    </row>
    <row r="130" spans="1:6" ht="12.75">
      <c r="A130" s="55"/>
      <c r="B130" s="70" t="s">
        <v>957</v>
      </c>
      <c r="C130" s="27" t="s">
        <v>11</v>
      </c>
      <c r="D130" s="69">
        <f>3.97*2.93*2</f>
        <v>23.264200000000002</v>
      </c>
      <c r="E130" s="40"/>
      <c r="F130" s="28"/>
    </row>
    <row r="131" spans="1:6" ht="12.75">
      <c r="A131" s="55"/>
      <c r="B131" s="70" t="s">
        <v>958</v>
      </c>
      <c r="C131" s="27" t="s">
        <v>11</v>
      </c>
      <c r="D131" s="69">
        <f>4.5*3.22*2</f>
        <v>28.98</v>
      </c>
      <c r="E131" s="40"/>
      <c r="F131" s="28"/>
    </row>
    <row r="132" spans="1:6" ht="12.75">
      <c r="A132" s="55"/>
      <c r="B132" s="70" t="s">
        <v>959</v>
      </c>
      <c r="C132" s="27" t="s">
        <v>11</v>
      </c>
      <c r="D132" s="69">
        <f>3.22*3.82*2</f>
        <v>24.6008</v>
      </c>
      <c r="E132" s="30"/>
      <c r="F132" s="30"/>
    </row>
    <row r="133" spans="1:6" ht="12.75">
      <c r="A133" s="55"/>
      <c r="B133" s="70" t="s">
        <v>960</v>
      </c>
      <c r="C133" s="76" t="s">
        <v>11</v>
      </c>
      <c r="D133" s="71">
        <f>3.22*3.82*2</f>
        <v>24.6008</v>
      </c>
      <c r="E133" s="77"/>
      <c r="F133" s="77"/>
    </row>
    <row r="134" spans="1:6" ht="12.75">
      <c r="A134" s="54"/>
      <c r="B134" s="70"/>
      <c r="C134" s="27" t="s">
        <v>11</v>
      </c>
      <c r="D134" s="69">
        <f>SUM(D130:D133)</f>
        <v>101.44579999999999</v>
      </c>
      <c r="E134" s="40"/>
      <c r="F134" s="28"/>
    </row>
    <row r="135" spans="1:6" ht="12.75">
      <c r="A135" s="54"/>
      <c r="B135" s="70"/>
      <c r="C135" s="27"/>
      <c r="D135" s="69"/>
      <c r="E135" s="40"/>
      <c r="F135" s="28"/>
    </row>
    <row r="136" spans="1:6" ht="25.5">
      <c r="A136" s="54" t="s">
        <v>45</v>
      </c>
      <c r="B136" s="160" t="s">
        <v>142</v>
      </c>
      <c r="C136" s="65"/>
      <c r="D136" s="27"/>
      <c r="E136" s="30"/>
      <c r="F136" s="30"/>
    </row>
    <row r="137" spans="1:6" ht="25.5">
      <c r="A137" s="54"/>
      <c r="B137" s="161" t="s">
        <v>138</v>
      </c>
      <c r="C137" s="65"/>
      <c r="D137" s="27"/>
      <c r="E137" s="30"/>
      <c r="F137" s="30"/>
    </row>
    <row r="138" spans="1:6" ht="25.5">
      <c r="A138" s="54"/>
      <c r="B138" s="161" t="s">
        <v>144</v>
      </c>
      <c r="C138" s="65"/>
      <c r="D138" s="27"/>
      <c r="E138" s="30"/>
      <c r="F138" s="30"/>
    </row>
    <row r="139" spans="1:6" ht="25.5">
      <c r="A139" s="54"/>
      <c r="B139" s="161" t="s">
        <v>138</v>
      </c>
      <c r="C139" s="65"/>
      <c r="D139" s="27"/>
      <c r="E139" s="30"/>
      <c r="F139" s="30"/>
    </row>
    <row r="140" spans="1:6" ht="12.75">
      <c r="A140" s="54"/>
      <c r="B140" s="151" t="s">
        <v>37</v>
      </c>
      <c r="C140" s="65"/>
      <c r="D140" s="27"/>
      <c r="E140" s="30"/>
      <c r="F140" s="30"/>
    </row>
    <row r="141" spans="1:6" ht="12.75">
      <c r="A141" s="54"/>
      <c r="B141" s="67" t="s">
        <v>286</v>
      </c>
      <c r="C141" s="65"/>
      <c r="D141" s="27"/>
      <c r="E141" s="30"/>
      <c r="F141" s="30"/>
    </row>
    <row r="142" spans="1:6" ht="12.75">
      <c r="A142" s="55"/>
      <c r="B142" s="57" t="s">
        <v>956</v>
      </c>
      <c r="C142" s="27" t="s">
        <v>11</v>
      </c>
      <c r="D142" s="69">
        <f>4.92*2.5*1.01</f>
        <v>12.423</v>
      </c>
      <c r="E142" s="40"/>
      <c r="F142" s="28"/>
    </row>
    <row r="143" spans="1:6" ht="12.75">
      <c r="A143" s="54"/>
      <c r="B143" s="29"/>
      <c r="C143" s="27"/>
      <c r="D143" s="69"/>
      <c r="E143" s="40"/>
      <c r="F143" s="28"/>
    </row>
    <row r="144" spans="1:6" ht="25.5">
      <c r="A144" s="54" t="s">
        <v>44</v>
      </c>
      <c r="B144" s="160" t="s">
        <v>142</v>
      </c>
      <c r="C144" s="65"/>
      <c r="D144" s="27"/>
      <c r="E144" s="30"/>
      <c r="F144" s="30"/>
    </row>
    <row r="145" spans="1:6" ht="12.75">
      <c r="A145" s="54"/>
      <c r="B145" s="161" t="s">
        <v>133</v>
      </c>
      <c r="C145" s="65"/>
      <c r="D145" s="27"/>
      <c r="E145" s="30"/>
      <c r="F145" s="30"/>
    </row>
    <row r="146" spans="1:6" ht="25.5">
      <c r="A146" s="54"/>
      <c r="B146" s="161" t="s">
        <v>144</v>
      </c>
      <c r="C146" s="65"/>
      <c r="D146" s="27"/>
      <c r="E146" s="30"/>
      <c r="F146" s="30"/>
    </row>
    <row r="147" spans="1:6" ht="12.75">
      <c r="A147" s="54"/>
      <c r="B147" s="161" t="s">
        <v>133</v>
      </c>
      <c r="C147" s="65"/>
      <c r="D147" s="27"/>
      <c r="E147" s="30"/>
      <c r="F147" s="30"/>
    </row>
    <row r="148" spans="1:6" ht="12.75">
      <c r="A148" s="54"/>
      <c r="B148" s="151" t="s">
        <v>193</v>
      </c>
      <c r="C148" s="65"/>
      <c r="D148" s="27"/>
      <c r="E148" s="30"/>
      <c r="F148" s="30"/>
    </row>
    <row r="149" spans="1:6" ht="12.75">
      <c r="A149" s="55"/>
      <c r="B149" s="210" t="s">
        <v>157</v>
      </c>
      <c r="C149" s="27"/>
      <c r="D149" s="69"/>
      <c r="E149" s="40"/>
      <c r="F149" s="28"/>
    </row>
    <row r="150" spans="1:6" ht="12.75">
      <c r="A150" s="55"/>
      <c r="B150" s="57" t="s">
        <v>955</v>
      </c>
      <c r="C150" s="27" t="s">
        <v>11</v>
      </c>
      <c r="D150" s="69">
        <f>3.82*(0.41*2+0.65*1)*3*1.01</f>
        <v>17.014661999999998</v>
      </c>
      <c r="E150" s="40"/>
      <c r="F150" s="28"/>
    </row>
    <row r="151" spans="1:6" ht="12.75">
      <c r="A151" s="55"/>
      <c r="B151" s="29"/>
      <c r="C151" s="27"/>
      <c r="D151" s="69"/>
      <c r="E151" s="40"/>
      <c r="F151" s="28"/>
    </row>
    <row r="152" spans="1:6" ht="51">
      <c r="A152" s="54" t="s">
        <v>48</v>
      </c>
      <c r="B152" s="160" t="s">
        <v>437</v>
      </c>
      <c r="C152" s="65"/>
      <c r="D152" s="27"/>
      <c r="E152" s="30"/>
      <c r="F152" s="30"/>
    </row>
    <row r="153" spans="1:6" ht="12.75">
      <c r="A153" s="54"/>
      <c r="B153" s="161" t="s">
        <v>146</v>
      </c>
      <c r="C153" s="65"/>
      <c r="D153" s="27"/>
      <c r="E153" s="30"/>
      <c r="F153" s="30"/>
    </row>
    <row r="154" spans="1:6" ht="25.5">
      <c r="A154" s="55"/>
      <c r="B154" s="161" t="s">
        <v>151</v>
      </c>
      <c r="C154" s="27"/>
      <c r="D154" s="27"/>
      <c r="E154" s="40"/>
      <c r="F154" s="28"/>
    </row>
    <row r="155" spans="1:6" ht="25.5">
      <c r="A155" s="55"/>
      <c r="B155" s="161" t="s">
        <v>438</v>
      </c>
      <c r="C155" s="27"/>
      <c r="D155" s="27"/>
      <c r="E155" s="28"/>
      <c r="F155" s="28"/>
    </row>
    <row r="156" spans="1:6" ht="25.5">
      <c r="A156" s="54"/>
      <c r="B156" s="29" t="s">
        <v>148</v>
      </c>
      <c r="C156" s="27"/>
      <c r="D156" s="27"/>
      <c r="E156" s="30"/>
      <c r="F156" s="30"/>
    </row>
    <row r="157" spans="1:6" ht="25.5">
      <c r="A157" s="54"/>
      <c r="B157" s="272" t="s">
        <v>436</v>
      </c>
      <c r="C157" s="27"/>
      <c r="D157" s="27"/>
      <c r="E157" s="30"/>
      <c r="F157" s="30"/>
    </row>
    <row r="158" spans="1:6" ht="38.25">
      <c r="A158" s="54"/>
      <c r="B158" s="29" t="s">
        <v>150</v>
      </c>
      <c r="C158" s="27"/>
      <c r="D158" s="27"/>
      <c r="E158" s="30"/>
      <c r="F158" s="30"/>
    </row>
    <row r="159" spans="1:6" ht="25.5">
      <c r="A159" s="54"/>
      <c r="B159" s="29" t="s">
        <v>149</v>
      </c>
      <c r="C159" s="27"/>
      <c r="D159" s="27"/>
      <c r="E159" s="30"/>
      <c r="F159" s="30"/>
    </row>
    <row r="160" spans="1:6" ht="12.75">
      <c r="A160" s="54"/>
      <c r="B160" s="151" t="s">
        <v>227</v>
      </c>
      <c r="C160" s="27"/>
      <c r="D160" s="27"/>
      <c r="E160" s="30"/>
      <c r="F160" s="30"/>
    </row>
    <row r="161" spans="1:6" ht="12.75">
      <c r="A161" s="54"/>
      <c r="B161" s="67" t="s">
        <v>286</v>
      </c>
      <c r="C161" s="27"/>
      <c r="D161" s="27"/>
      <c r="E161" s="30"/>
      <c r="F161" s="30"/>
    </row>
    <row r="162" spans="1:6" s="41" customFormat="1" ht="12.75">
      <c r="A162" s="55"/>
      <c r="B162" s="29" t="s">
        <v>954</v>
      </c>
      <c r="C162" s="27" t="s">
        <v>11</v>
      </c>
      <c r="D162" s="69">
        <f>4.92*(2.95*2+3.7)*1.01</f>
        <v>47.70432000000001</v>
      </c>
      <c r="E162" s="40"/>
      <c r="F162" s="28"/>
    </row>
    <row r="163" spans="1:6" s="41" customFormat="1" ht="12.75">
      <c r="A163" s="55"/>
      <c r="B163" s="39"/>
      <c r="C163" s="27"/>
      <c r="D163" s="27"/>
      <c r="E163" s="28"/>
      <c r="F163" s="28"/>
    </row>
    <row r="164" spans="1:6" ht="51">
      <c r="A164" s="54" t="s">
        <v>49</v>
      </c>
      <c r="B164" s="160" t="s">
        <v>145</v>
      </c>
      <c r="C164" s="65"/>
      <c r="D164" s="27"/>
      <c r="E164" s="30"/>
      <c r="F164" s="30"/>
    </row>
    <row r="165" spans="1:6" ht="25.5">
      <c r="A165" s="54"/>
      <c r="B165" s="161" t="s">
        <v>152</v>
      </c>
      <c r="C165" s="65"/>
      <c r="D165" s="27"/>
      <c r="E165" s="30"/>
      <c r="F165" s="30"/>
    </row>
    <row r="166" spans="1:6" ht="25.5">
      <c r="A166" s="55"/>
      <c r="B166" s="161" t="s">
        <v>151</v>
      </c>
      <c r="C166" s="27"/>
      <c r="D166" s="27"/>
      <c r="E166" s="40"/>
      <c r="F166" s="28"/>
    </row>
    <row r="167" spans="1:6" ht="25.5">
      <c r="A167" s="55"/>
      <c r="B167" s="161" t="s">
        <v>147</v>
      </c>
      <c r="C167" s="27"/>
      <c r="D167" s="27"/>
      <c r="E167" s="28"/>
      <c r="F167" s="28"/>
    </row>
    <row r="168" spans="1:6" ht="25.5">
      <c r="A168" s="54"/>
      <c r="B168" s="29" t="s">
        <v>148</v>
      </c>
      <c r="C168" s="27"/>
      <c r="D168" s="27"/>
      <c r="E168" s="30"/>
      <c r="F168" s="30"/>
    </row>
    <row r="169" spans="1:6" ht="63.75">
      <c r="A169" s="54"/>
      <c r="B169" s="29" t="s">
        <v>155</v>
      </c>
      <c r="C169" s="27"/>
      <c r="D169" s="27"/>
      <c r="E169" s="30"/>
      <c r="F169" s="30"/>
    </row>
    <row r="170" spans="1:6" s="97" customFormat="1" ht="25.5">
      <c r="A170" s="232"/>
      <c r="B170" s="272" t="s">
        <v>455</v>
      </c>
      <c r="C170" s="120"/>
      <c r="D170" s="120"/>
      <c r="E170" s="127"/>
      <c r="F170" s="127"/>
    </row>
    <row r="171" spans="1:6" ht="38.25">
      <c r="A171" s="54"/>
      <c r="B171" s="29" t="s">
        <v>154</v>
      </c>
      <c r="C171" s="27"/>
      <c r="D171" s="27"/>
      <c r="E171" s="30"/>
      <c r="F171" s="30"/>
    </row>
    <row r="172" spans="1:6" ht="12.75">
      <c r="A172" s="54"/>
      <c r="B172" s="151" t="s">
        <v>153</v>
      </c>
      <c r="C172" s="27"/>
      <c r="D172" s="27"/>
      <c r="E172" s="30"/>
      <c r="F172" s="30"/>
    </row>
    <row r="173" spans="1:6" ht="12.75">
      <c r="A173" s="54"/>
      <c r="B173" s="67" t="s">
        <v>286</v>
      </c>
      <c r="C173" s="27"/>
      <c r="D173" s="27"/>
      <c r="E173" s="30"/>
      <c r="F173" s="30"/>
    </row>
    <row r="174" spans="1:6" s="41" customFormat="1" ht="12.75">
      <c r="A174" s="55"/>
      <c r="B174" s="29" t="s">
        <v>953</v>
      </c>
      <c r="C174" s="27" t="s">
        <v>11</v>
      </c>
      <c r="D174" s="69">
        <f>4.92*3.85*1.01</f>
        <v>19.131420000000002</v>
      </c>
      <c r="E174" s="40"/>
      <c r="F174" s="28"/>
    </row>
    <row r="175" spans="1:6" s="41" customFormat="1" ht="12.75">
      <c r="A175" s="55"/>
      <c r="B175" s="39"/>
      <c r="C175" s="27"/>
      <c r="D175" s="27"/>
      <c r="E175" s="28"/>
      <c r="F175" s="28"/>
    </row>
    <row r="176" spans="1:6" ht="25.5">
      <c r="A176" s="54" t="s">
        <v>50</v>
      </c>
      <c r="B176" s="160" t="s">
        <v>134</v>
      </c>
      <c r="C176" s="27"/>
      <c r="D176" s="69"/>
      <c r="E176" s="40"/>
      <c r="F176" s="28"/>
    </row>
    <row r="177" spans="1:6" ht="12.75">
      <c r="A177" s="55"/>
      <c r="B177" s="161" t="s">
        <v>133</v>
      </c>
      <c r="C177" s="65"/>
      <c r="D177" s="27"/>
      <c r="E177" s="30"/>
      <c r="F177" s="30"/>
    </row>
    <row r="178" spans="1:6" ht="25.5">
      <c r="A178" s="54"/>
      <c r="B178" s="161" t="s">
        <v>136</v>
      </c>
      <c r="C178" s="65"/>
      <c r="D178" s="27"/>
      <c r="E178" s="30"/>
      <c r="F178" s="30"/>
    </row>
    <row r="179" spans="1:6" ht="12.75">
      <c r="A179" s="54"/>
      <c r="B179" s="161" t="s">
        <v>133</v>
      </c>
      <c r="C179" s="65"/>
      <c r="D179" s="27"/>
      <c r="E179" s="30"/>
      <c r="F179" s="30"/>
    </row>
    <row r="180" spans="1:6" s="41" customFormat="1" ht="12.75">
      <c r="A180" s="54"/>
      <c r="B180" s="151" t="s">
        <v>192</v>
      </c>
      <c r="C180" s="8"/>
      <c r="D180" s="8"/>
      <c r="E180" s="40"/>
      <c r="F180" s="28"/>
    </row>
    <row r="181" spans="1:6" s="41" customFormat="1" ht="12.75">
      <c r="A181" s="55"/>
      <c r="B181" s="156" t="s">
        <v>157</v>
      </c>
      <c r="C181" s="27"/>
      <c r="D181" s="27"/>
      <c r="E181" s="28"/>
      <c r="F181" s="28"/>
    </row>
    <row r="182" spans="1:6" s="41" customFormat="1" ht="25.5">
      <c r="A182" s="55"/>
      <c r="B182" s="39" t="s">
        <v>951</v>
      </c>
      <c r="C182" s="27" t="s">
        <v>11</v>
      </c>
      <c r="D182" s="69">
        <f>(3.65*(3.82+5.15+0.95)-1.2*2.15-1.15*1.2+3.97*(3.37+1.83)-1.5*1.15)*1.01</f>
        <v>51.67867</v>
      </c>
      <c r="E182" s="28"/>
      <c r="F182" s="28"/>
    </row>
    <row r="183" spans="1:6" s="41" customFormat="1" ht="12.75">
      <c r="A183" s="55"/>
      <c r="B183" s="39" t="s">
        <v>952</v>
      </c>
      <c r="C183" s="76" t="s">
        <v>11</v>
      </c>
      <c r="D183" s="85">
        <f>(4.82*18.25-0.8*2.15*3)*1.01</f>
        <v>83.63305000000001</v>
      </c>
      <c r="E183" s="91"/>
      <c r="F183" s="91"/>
    </row>
    <row r="184" spans="1:6" s="41" customFormat="1" ht="12.75">
      <c r="A184" s="55"/>
      <c r="B184" s="156"/>
      <c r="C184" s="27" t="s">
        <v>11</v>
      </c>
      <c r="D184" s="69">
        <f>SUM(D182:D183)</f>
        <v>135.31172</v>
      </c>
      <c r="E184" s="40"/>
      <c r="F184" s="28"/>
    </row>
    <row r="185" spans="1:6" s="41" customFormat="1" ht="12.75">
      <c r="A185" s="55"/>
      <c r="B185" s="156"/>
      <c r="C185" s="27"/>
      <c r="D185" s="69"/>
      <c r="E185" s="40"/>
      <c r="F185" s="28"/>
    </row>
    <row r="186" spans="1:6" s="41" customFormat="1" ht="38.25">
      <c r="A186" s="186">
        <f>A25+1</f>
        <v>203</v>
      </c>
      <c r="B186" s="39" t="s">
        <v>458</v>
      </c>
      <c r="C186" s="27"/>
      <c r="D186" s="69"/>
      <c r="E186" s="40"/>
      <c r="F186" s="28"/>
    </row>
    <row r="187" spans="1:6" s="41" customFormat="1" ht="12.75">
      <c r="A187" s="54"/>
      <c r="B187" s="47" t="s">
        <v>459</v>
      </c>
      <c r="C187" s="8"/>
      <c r="D187" s="8"/>
      <c r="E187" s="40"/>
      <c r="F187" s="28"/>
    </row>
    <row r="188" spans="1:6" s="41" customFormat="1" ht="25.5">
      <c r="A188" s="55"/>
      <c r="B188" s="161" t="s">
        <v>460</v>
      </c>
      <c r="C188" s="65"/>
      <c r="D188" s="27"/>
      <c r="E188" s="30"/>
      <c r="F188" s="30"/>
    </row>
    <row r="189" spans="1:6" ht="51">
      <c r="A189" s="54"/>
      <c r="B189" s="159" t="s">
        <v>418</v>
      </c>
      <c r="C189" s="65"/>
      <c r="D189" s="27"/>
      <c r="E189" s="40"/>
      <c r="F189" s="28"/>
    </row>
    <row r="190" spans="1:2" ht="51">
      <c r="A190" s="58"/>
      <c r="B190" s="75" t="s">
        <v>29</v>
      </c>
    </row>
    <row r="191" spans="1:2" ht="63.75">
      <c r="A191" s="58"/>
      <c r="B191" s="75" t="s">
        <v>461</v>
      </c>
    </row>
    <row r="192" spans="1:6" s="41" customFormat="1" ht="12.75">
      <c r="A192" s="55"/>
      <c r="B192" s="161" t="s">
        <v>34</v>
      </c>
      <c r="C192" s="27" t="s">
        <v>11</v>
      </c>
      <c r="D192" s="69">
        <v>222.51</v>
      </c>
      <c r="E192" s="40"/>
      <c r="F192" s="28"/>
    </row>
    <row r="193" spans="1:6" s="41" customFormat="1" ht="25.5">
      <c r="A193" s="55"/>
      <c r="B193" s="307" t="s">
        <v>950</v>
      </c>
      <c r="C193" s="65"/>
      <c r="D193" s="27"/>
      <c r="E193" s="30"/>
      <c r="F193" s="30"/>
    </row>
    <row r="194" spans="1:6" s="41" customFormat="1" ht="12.75">
      <c r="A194" s="55"/>
      <c r="B194" s="161"/>
      <c r="C194" s="65"/>
      <c r="D194" s="27"/>
      <c r="E194" s="30"/>
      <c r="F194" s="30"/>
    </row>
    <row r="195" spans="1:6" s="41" customFormat="1" ht="25.5">
      <c r="A195" s="186">
        <f>A186+1</f>
        <v>204</v>
      </c>
      <c r="B195" s="161" t="s">
        <v>525</v>
      </c>
      <c r="C195" s="65"/>
      <c r="D195" s="27"/>
      <c r="E195" s="30"/>
      <c r="F195" s="30"/>
    </row>
    <row r="196" spans="1:6" s="41" customFormat="1" ht="127.5">
      <c r="A196" s="186"/>
      <c r="B196" s="163" t="s">
        <v>529</v>
      </c>
      <c r="C196" s="65"/>
      <c r="D196" s="27"/>
      <c r="E196" s="30"/>
      <c r="F196" s="30"/>
    </row>
    <row r="197" spans="1:6" s="41" customFormat="1" ht="127.5">
      <c r="A197" s="186"/>
      <c r="B197" s="161" t="s">
        <v>528</v>
      </c>
      <c r="C197" s="65"/>
      <c r="D197" s="27"/>
      <c r="E197" s="30"/>
      <c r="F197" s="30"/>
    </row>
    <row r="198" spans="1:6" s="41" customFormat="1" ht="51">
      <c r="A198" s="55"/>
      <c r="B198" s="75" t="s">
        <v>524</v>
      </c>
      <c r="C198" s="65"/>
      <c r="D198" s="27"/>
      <c r="E198" s="30"/>
      <c r="F198" s="30"/>
    </row>
    <row r="199" spans="1:6" s="41" customFormat="1" ht="12.75">
      <c r="A199" s="55"/>
      <c r="B199" s="161" t="s">
        <v>34</v>
      </c>
      <c r="C199" s="65"/>
      <c r="D199" s="27"/>
      <c r="E199" s="30"/>
      <c r="F199" s="30"/>
    </row>
    <row r="200" spans="1:6" s="41" customFormat="1" ht="25.5">
      <c r="A200" s="55"/>
      <c r="B200" s="161" t="s">
        <v>527</v>
      </c>
      <c r="C200" s="65"/>
      <c r="D200" s="27"/>
      <c r="E200" s="30"/>
      <c r="F200" s="30"/>
    </row>
    <row r="201" spans="1:6" s="41" customFormat="1" ht="12.75">
      <c r="A201" s="55"/>
      <c r="B201" s="227" t="s">
        <v>526</v>
      </c>
      <c r="C201" s="27" t="s">
        <v>11</v>
      </c>
      <c r="D201" s="69">
        <f>(13.3*1.8-1.6*0.65)*2*1.02</f>
        <v>46.71600000000001</v>
      </c>
      <c r="E201" s="40"/>
      <c r="F201" s="28"/>
    </row>
    <row r="202" spans="1:6" s="41" customFormat="1" ht="12.75">
      <c r="A202" s="55"/>
      <c r="B202" s="161" t="s">
        <v>949</v>
      </c>
      <c r="C202" s="65"/>
      <c r="D202" s="27"/>
      <c r="E202" s="30"/>
      <c r="F202" s="30"/>
    </row>
    <row r="203" spans="1:6" s="41" customFormat="1" ht="12.75">
      <c r="A203" s="55"/>
      <c r="B203" s="161"/>
      <c r="C203" s="65"/>
      <c r="D203" s="27"/>
      <c r="E203" s="30"/>
      <c r="F203" s="30"/>
    </row>
    <row r="204" spans="1:6" s="41" customFormat="1" ht="12.75">
      <c r="A204" s="46">
        <f>A4</f>
        <v>200</v>
      </c>
      <c r="B204" s="33" t="str">
        <f>B4</f>
        <v>MONTAŽNE PREGRADE</v>
      </c>
      <c r="C204" s="66" t="s">
        <v>1485</v>
      </c>
      <c r="D204" s="13"/>
      <c r="E204" s="14"/>
      <c r="F204" s="15"/>
    </row>
    <row r="205" spans="1:6" s="41" customFormat="1" ht="12.75">
      <c r="A205" s="53"/>
      <c r="B205" s="42"/>
      <c r="C205" s="64"/>
      <c r="D205" s="2"/>
      <c r="E205" s="2"/>
      <c r="F205" s="2"/>
    </row>
    <row r="206" spans="1:6" s="41" customFormat="1" ht="12.75">
      <c r="A206" s="53"/>
      <c r="B206" s="11"/>
      <c r="C206" s="64"/>
      <c r="D206" s="2"/>
      <c r="E206" s="2"/>
      <c r="F206" s="2"/>
    </row>
    <row r="207" spans="1:6" s="41" customFormat="1" ht="12.75">
      <c r="A207" s="55"/>
      <c r="B207" s="29"/>
      <c r="C207" s="65"/>
      <c r="D207" s="27"/>
      <c r="E207" s="30"/>
      <c r="F207" s="30"/>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9" r:id="rId1"/>
  <rowBreaks count="4" manualBreakCount="4">
    <brk id="38" max="5" man="1"/>
    <brk id="93" max="5" man="1"/>
    <brk id="134" max="5" man="1"/>
    <brk id="194" max="5" man="1"/>
  </rowBreaks>
</worksheet>
</file>

<file path=xl/worksheets/sheet5.xml><?xml version="1.0" encoding="utf-8"?>
<worksheet xmlns="http://schemas.openxmlformats.org/spreadsheetml/2006/main" xmlns:r="http://schemas.openxmlformats.org/officeDocument/2006/relationships">
  <dimension ref="A1:F204"/>
  <sheetViews>
    <sheetView view="pageLayout" zoomScaleSheetLayoutView="110" workbookViewId="0" topLeftCell="A193">
      <selection activeCell="C203" sqref="C203"/>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f>'montažne pregrade'!A204+100</f>
        <v>300</v>
      </c>
      <c r="B4" s="82" t="s">
        <v>32</v>
      </c>
      <c r="C4" s="63"/>
      <c r="D4" s="13"/>
      <c r="E4" s="13"/>
      <c r="F4" s="13"/>
    </row>
    <row r="5" spans="1:6" ht="12.75">
      <c r="A5" s="73"/>
      <c r="B5" s="156"/>
      <c r="C5" s="59"/>
      <c r="D5" s="3"/>
      <c r="E5" s="3"/>
      <c r="F5" s="3"/>
    </row>
    <row r="6" spans="1:6" ht="89.25">
      <c r="A6" s="73"/>
      <c r="B6" s="154" t="s">
        <v>298</v>
      </c>
      <c r="C6" s="59"/>
      <c r="D6" s="3"/>
      <c r="E6" s="3"/>
      <c r="F6" s="3"/>
    </row>
    <row r="7" spans="1:6" ht="51">
      <c r="A7" s="73"/>
      <c r="B7" s="154" t="s">
        <v>116</v>
      </c>
      <c r="C7" s="59"/>
      <c r="D7" s="3"/>
      <c r="E7" s="3"/>
      <c r="F7" s="3"/>
    </row>
    <row r="8" spans="1:6" ht="34.5" customHeight="1">
      <c r="A8" s="73"/>
      <c r="B8" s="154" t="s">
        <v>1476</v>
      </c>
      <c r="C8" s="59"/>
      <c r="D8" s="3"/>
      <c r="E8" s="3"/>
      <c r="F8" s="3"/>
    </row>
    <row r="9" spans="1:6" ht="12.75">
      <c r="A9" s="73"/>
      <c r="B9" s="154"/>
      <c r="C9" s="59"/>
      <c r="D9" s="3"/>
      <c r="E9" s="3"/>
      <c r="F9" s="3"/>
    </row>
    <row r="10" spans="1:2" ht="25.5">
      <c r="A10" s="58">
        <f>A4+1</f>
        <v>301</v>
      </c>
      <c r="B10" s="296" t="s">
        <v>332</v>
      </c>
    </row>
    <row r="11" spans="1:2" ht="12.75">
      <c r="A11" s="58"/>
      <c r="B11" s="296" t="s">
        <v>120</v>
      </c>
    </row>
    <row r="12" spans="1:2" ht="38.25">
      <c r="A12" s="58"/>
      <c r="B12" s="7" t="s">
        <v>1477</v>
      </c>
    </row>
    <row r="13" spans="1:2" ht="114.75">
      <c r="A13" s="58"/>
      <c r="B13" s="297" t="s">
        <v>331</v>
      </c>
    </row>
    <row r="14" spans="1:2" ht="89.25">
      <c r="A14" s="58"/>
      <c r="B14" s="297" t="s">
        <v>789</v>
      </c>
    </row>
    <row r="15" spans="1:2" ht="114.75">
      <c r="A15" s="58"/>
      <c r="B15" s="297" t="s">
        <v>118</v>
      </c>
    </row>
    <row r="16" spans="1:2" ht="12.75">
      <c r="A16" s="58"/>
      <c r="B16" s="145" t="s">
        <v>124</v>
      </c>
    </row>
    <row r="17" spans="1:2" ht="170.25" customHeight="1">
      <c r="A17" s="58"/>
      <c r="B17" s="145" t="s">
        <v>297</v>
      </c>
    </row>
    <row r="18" spans="1:2" ht="204">
      <c r="A18" s="58"/>
      <c r="B18" s="145" t="s">
        <v>119</v>
      </c>
    </row>
    <row r="19" spans="1:2" ht="25.5">
      <c r="A19" s="58"/>
      <c r="B19" s="145" t="s">
        <v>130</v>
      </c>
    </row>
    <row r="20" spans="1:2" ht="25.5">
      <c r="A20" s="58"/>
      <c r="B20" s="7" t="s">
        <v>345</v>
      </c>
    </row>
    <row r="21" spans="1:2" ht="12.75">
      <c r="A21" s="58"/>
      <c r="B21" s="7" t="s">
        <v>445</v>
      </c>
    </row>
    <row r="22" spans="1:2" ht="12.75">
      <c r="A22" s="73" t="s">
        <v>19</v>
      </c>
      <c r="B22" s="67" t="s">
        <v>287</v>
      </c>
    </row>
    <row r="23" spans="1:4" ht="25.5">
      <c r="A23" s="54"/>
      <c r="B23" s="44" t="s">
        <v>996</v>
      </c>
      <c r="C23" s="27" t="s">
        <v>11</v>
      </c>
      <c r="D23" s="41">
        <f>(15.5*36+2.5*5.6*2+2.3*36.4)*1.01</f>
        <v>676.4172</v>
      </c>
    </row>
    <row r="24" spans="1:4" ht="12.75">
      <c r="A24" s="54"/>
      <c r="B24" s="44" t="s">
        <v>997</v>
      </c>
      <c r="C24" s="27" t="s">
        <v>11</v>
      </c>
      <c r="D24" s="41">
        <f>(5.8*36.4)*1.01</f>
        <v>213.23119999999997</v>
      </c>
    </row>
    <row r="25" spans="1:6" ht="12.75">
      <c r="A25" s="54"/>
      <c r="B25" s="44" t="s">
        <v>998</v>
      </c>
      <c r="C25" s="76" t="s">
        <v>11</v>
      </c>
      <c r="D25" s="71">
        <f>(2*36+5.8*36)*1.01</f>
        <v>283.60799999999995</v>
      </c>
      <c r="E25" s="4"/>
      <c r="F25" s="4"/>
    </row>
    <row r="26" spans="1:6" ht="12.75">
      <c r="A26" s="54"/>
      <c r="C26" s="27" t="s">
        <v>11</v>
      </c>
      <c r="D26" s="69">
        <f>SUM(D23:D25)</f>
        <v>1173.2563999999998</v>
      </c>
      <c r="E26" s="40"/>
      <c r="F26" s="28"/>
    </row>
    <row r="27" spans="1:6" ht="12.75">
      <c r="A27" s="54"/>
      <c r="C27" s="27"/>
      <c r="D27" s="69"/>
      <c r="E27" s="40"/>
      <c r="F27" s="28"/>
    </row>
    <row r="28" spans="1:6" ht="12.75">
      <c r="A28" s="73" t="s">
        <v>76</v>
      </c>
      <c r="B28" s="20" t="s">
        <v>999</v>
      </c>
      <c r="C28" s="27" t="s">
        <v>11</v>
      </c>
      <c r="D28" s="69">
        <f>(1737-285.12)*1.01</f>
        <v>1466.3988000000002</v>
      </c>
      <c r="E28" s="40"/>
      <c r="F28" s="28"/>
    </row>
    <row r="29" spans="1:6" ht="12.75">
      <c r="A29" s="54"/>
      <c r="C29" s="27"/>
      <c r="D29" s="69"/>
      <c r="E29" s="40"/>
      <c r="F29" s="28"/>
    </row>
    <row r="30" spans="1:6" ht="12.75">
      <c r="A30" s="73" t="s">
        <v>194</v>
      </c>
      <c r="B30" s="20" t="s">
        <v>338</v>
      </c>
      <c r="C30" s="27"/>
      <c r="D30" s="69"/>
      <c r="E30" s="40"/>
      <c r="F30" s="28"/>
    </row>
    <row r="31" spans="1:6" ht="25.5">
      <c r="A31" s="2"/>
      <c r="B31" s="93" t="s">
        <v>1000</v>
      </c>
      <c r="C31" s="27" t="s">
        <v>11</v>
      </c>
      <c r="D31" s="69">
        <f>36.25*29.9+36.25*6</f>
        <v>1301.375</v>
      </c>
      <c r="E31" s="40"/>
      <c r="F31" s="28"/>
    </row>
    <row r="32" spans="1:6" ht="12.75">
      <c r="A32" s="73"/>
      <c r="B32" s="20"/>
      <c r="C32" s="27"/>
      <c r="D32" s="69"/>
      <c r="E32" s="40"/>
      <c r="F32" s="28"/>
    </row>
    <row r="33" spans="1:6" ht="38.25">
      <c r="A33" s="73">
        <f>A10+1</f>
        <v>302</v>
      </c>
      <c r="B33" s="7" t="s">
        <v>337</v>
      </c>
      <c r="C33" s="65"/>
      <c r="D33" s="27"/>
      <c r="E33" s="40"/>
      <c r="F33" s="28"/>
    </row>
    <row r="34" spans="1:6" ht="12.75">
      <c r="A34" s="54"/>
      <c r="B34" s="7" t="s">
        <v>122</v>
      </c>
      <c r="C34" s="65"/>
      <c r="D34" s="27"/>
      <c r="E34" s="40"/>
      <c r="F34" s="28"/>
    </row>
    <row r="35" spans="1:3" ht="51">
      <c r="A35" s="54" t="s">
        <v>39</v>
      </c>
      <c r="B35" s="7" t="s">
        <v>339</v>
      </c>
      <c r="C35" s="2"/>
    </row>
    <row r="36" spans="1:6" ht="12.75">
      <c r="A36" s="54"/>
      <c r="B36" s="7"/>
      <c r="C36" s="27"/>
      <c r="D36" s="69"/>
      <c r="E36" s="40"/>
      <c r="F36" s="28"/>
    </row>
    <row r="37" spans="1:6" ht="12.75">
      <c r="A37" s="54"/>
      <c r="B37" s="11" t="s">
        <v>211</v>
      </c>
      <c r="C37" s="27" t="s">
        <v>11</v>
      </c>
      <c r="D37" s="69">
        <f>(0.3*(15.5+36)*2+0.3*(2.3+36.4*2)*2+0.3*(2.5+5.6*2)+0.3*(5.8+36.4)*2+0.3*(2+36+5.8+36)*2)*1.01</f>
        <v>154.8027</v>
      </c>
      <c r="E37" s="40"/>
      <c r="F37" s="28"/>
    </row>
    <row r="38" spans="1:2" ht="25.5">
      <c r="A38" s="54"/>
      <c r="B38" s="157" t="s">
        <v>1001</v>
      </c>
    </row>
    <row r="39" spans="1:6" ht="12.75">
      <c r="A39" s="54"/>
      <c r="B39" s="216" t="s">
        <v>156</v>
      </c>
      <c r="C39" s="27" t="s">
        <v>11</v>
      </c>
      <c r="D39" s="69">
        <f>((170+71.7)*0.3)*1.01</f>
        <v>73.23509999999999</v>
      </c>
      <c r="E39" s="40"/>
      <c r="F39" s="28"/>
    </row>
    <row r="40" spans="1:6" ht="12.75">
      <c r="A40" s="54"/>
      <c r="B40" s="157" t="s">
        <v>1002</v>
      </c>
      <c r="C40" s="27"/>
      <c r="D40" s="69"/>
      <c r="E40" s="40"/>
      <c r="F40" s="28"/>
    </row>
    <row r="41" spans="1:6" ht="12.75">
      <c r="A41" s="73"/>
      <c r="B41" s="20" t="s">
        <v>302</v>
      </c>
      <c r="C41" s="27" t="s">
        <v>11</v>
      </c>
      <c r="D41" s="41">
        <f>0.3*(36.25+29.9)*2*1+0.3*(36.25+6)*1</f>
        <v>52.365</v>
      </c>
      <c r="E41" s="40"/>
      <c r="F41" s="28"/>
    </row>
    <row r="42" spans="1:6" ht="12.75">
      <c r="A42" s="73"/>
      <c r="B42" s="303" t="s">
        <v>1003</v>
      </c>
      <c r="C42" s="27"/>
      <c r="D42" s="41"/>
      <c r="E42" s="40"/>
      <c r="F42" s="28"/>
    </row>
    <row r="43" spans="1:6" ht="12.75">
      <c r="A43" s="54"/>
      <c r="B43" s="157"/>
      <c r="C43" s="27"/>
      <c r="D43" s="69"/>
      <c r="E43" s="40"/>
      <c r="F43" s="28"/>
    </row>
    <row r="44" spans="1:3" ht="25.5">
      <c r="A44" s="54" t="s">
        <v>40</v>
      </c>
      <c r="B44" s="7" t="s">
        <v>123</v>
      </c>
      <c r="C44" s="2"/>
    </row>
    <row r="45" spans="1:6" ht="12.75">
      <c r="A45" s="54"/>
      <c r="B45" s="7"/>
      <c r="C45" s="27"/>
      <c r="D45" s="69"/>
      <c r="E45" s="40"/>
      <c r="F45" s="28"/>
    </row>
    <row r="46" spans="1:6" ht="12.75">
      <c r="A46" s="54"/>
      <c r="B46" s="11" t="s">
        <v>211</v>
      </c>
      <c r="C46" s="27" t="s">
        <v>11</v>
      </c>
      <c r="D46" s="69">
        <f>(0.8*(15.5+36)*2+0.8*(2.3+36.4)+0.8*(2.5+5.6*2)*2+0.3*(5.8*2+36.4)+0.3*(2*2+36+5.8*2+36))*1.01</f>
        <v>177.7196</v>
      </c>
      <c r="E46" s="40"/>
      <c r="F46" s="28"/>
    </row>
    <row r="47" spans="1:6" ht="25.5">
      <c r="A47" s="54"/>
      <c r="B47" s="297" t="s">
        <v>1004</v>
      </c>
      <c r="C47" s="27"/>
      <c r="D47" s="69"/>
      <c r="E47" s="40"/>
      <c r="F47" s="28"/>
    </row>
    <row r="48" spans="1:6" ht="12.75">
      <c r="A48" s="54"/>
      <c r="B48" s="157"/>
      <c r="C48" s="27"/>
      <c r="D48" s="69"/>
      <c r="E48" s="40"/>
      <c r="F48" s="28"/>
    </row>
    <row r="49" spans="1:6" ht="12.75">
      <c r="A49" s="54"/>
      <c r="B49" s="216" t="s">
        <v>156</v>
      </c>
      <c r="C49" s="27" t="s">
        <v>11</v>
      </c>
      <c r="D49" s="69">
        <f>((170+71.7)*0.8)*1.01</f>
        <v>195.29360000000003</v>
      </c>
      <c r="E49" s="40"/>
      <c r="F49" s="28"/>
    </row>
    <row r="50" spans="1:6" ht="12.75">
      <c r="A50" s="54"/>
      <c r="B50" s="144" t="s">
        <v>1005</v>
      </c>
      <c r="C50" s="27"/>
      <c r="D50" s="69"/>
      <c r="E50" s="40"/>
      <c r="F50" s="28"/>
    </row>
    <row r="51" spans="1:6" ht="12.75">
      <c r="A51" s="54"/>
      <c r="B51" s="157"/>
      <c r="C51" s="27"/>
      <c r="D51" s="69"/>
      <c r="E51" s="40"/>
      <c r="F51" s="28"/>
    </row>
    <row r="52" spans="1:6" ht="12.75">
      <c r="A52" s="54"/>
      <c r="B52" s="20" t="s">
        <v>302</v>
      </c>
      <c r="C52" s="27" t="s">
        <v>11</v>
      </c>
      <c r="D52" s="69">
        <f>0.8*(36.25+29.9)*2*1.01+0.8*(36.25+6)*1.01</f>
        <v>141.03640000000001</v>
      </c>
      <c r="E52" s="40"/>
      <c r="F52" s="28"/>
    </row>
    <row r="53" spans="1:6" ht="12.75">
      <c r="A53" s="54"/>
      <c r="B53" s="303" t="s">
        <v>1006</v>
      </c>
      <c r="C53" s="27"/>
      <c r="D53" s="69"/>
      <c r="E53" s="40"/>
      <c r="F53" s="28"/>
    </row>
    <row r="54" spans="1:6" ht="12.75">
      <c r="A54" s="54"/>
      <c r="B54" s="157"/>
      <c r="C54" s="27"/>
      <c r="D54" s="69"/>
      <c r="E54" s="40"/>
      <c r="F54" s="28"/>
    </row>
    <row r="55" spans="1:6" ht="76.5">
      <c r="A55" s="54" t="s">
        <v>41</v>
      </c>
      <c r="B55" s="7" t="s">
        <v>125</v>
      </c>
      <c r="C55" s="65"/>
      <c r="D55" s="27"/>
      <c r="E55" s="40"/>
      <c r="F55" s="28"/>
    </row>
    <row r="56" spans="1:3" ht="153">
      <c r="A56" s="54"/>
      <c r="B56" s="7" t="s">
        <v>126</v>
      </c>
      <c r="C56" s="2"/>
    </row>
    <row r="57" spans="1:3" ht="38.25">
      <c r="A57" s="54"/>
      <c r="B57" s="7" t="s">
        <v>129</v>
      </c>
      <c r="C57" s="2"/>
    </row>
    <row r="58" spans="1:6" ht="12.75">
      <c r="A58" s="54"/>
      <c r="B58" s="7"/>
      <c r="C58" s="27"/>
      <c r="D58" s="69"/>
      <c r="E58" s="40"/>
      <c r="F58" s="28"/>
    </row>
    <row r="59" spans="1:6" ht="12.75">
      <c r="A59" s="54"/>
      <c r="B59" s="11" t="s">
        <v>211</v>
      </c>
      <c r="C59" s="27" t="s">
        <v>11</v>
      </c>
      <c r="D59" s="69">
        <f>(1.2*(15.5+36)*2+1.2*(2.3+36.4)+0.3*36.4+1.2*(2.5+5.6*2)*2+0.75*(5.8*2+36.4)+0.3*36.4+0.75*(2*2+36+5.8*2+36)+0.3*36*2)*1.01</f>
        <v>351.5406</v>
      </c>
      <c r="E59" s="40"/>
      <c r="F59" s="28"/>
    </row>
    <row r="60" spans="1:6" ht="38.25">
      <c r="A60" s="54"/>
      <c r="B60" s="308" t="s">
        <v>1007</v>
      </c>
      <c r="C60" s="27"/>
      <c r="D60" s="69"/>
      <c r="E60" s="40"/>
      <c r="F60" s="28"/>
    </row>
    <row r="61" spans="1:6" ht="12.75">
      <c r="A61" s="54"/>
      <c r="B61" s="216" t="s">
        <v>156</v>
      </c>
      <c r="C61" s="27" t="s">
        <v>11</v>
      </c>
      <c r="D61" s="69">
        <f>(170+71.7)*0.75*1.01</f>
        <v>183.08774999999997</v>
      </c>
      <c r="E61" s="40"/>
      <c r="F61" s="28"/>
    </row>
    <row r="62" spans="1:6" ht="12.75">
      <c r="A62" s="54"/>
      <c r="B62" s="144" t="s">
        <v>1008</v>
      </c>
      <c r="C62" s="27"/>
      <c r="D62" s="69"/>
      <c r="E62" s="40"/>
      <c r="F62" s="28"/>
    </row>
    <row r="63" spans="1:6" ht="12.75">
      <c r="A63" s="54"/>
      <c r="B63" s="20" t="s">
        <v>302</v>
      </c>
      <c r="C63" s="27" t="s">
        <v>11</v>
      </c>
      <c r="D63" s="69">
        <f>(0.85+0.4)*(36.25+29.9)*2*1.01+(0.85+0.4)*(36.25+6)*1.01</f>
        <v>220.369375</v>
      </c>
      <c r="E63" s="40"/>
      <c r="F63" s="28"/>
    </row>
    <row r="64" spans="1:6" ht="25.5">
      <c r="A64" s="54"/>
      <c r="B64" s="157" t="s">
        <v>1009</v>
      </c>
      <c r="C64" s="27"/>
      <c r="D64" s="69"/>
      <c r="E64" s="40"/>
      <c r="F64" s="28"/>
    </row>
    <row r="65" spans="1:6" ht="12.75">
      <c r="A65" s="54"/>
      <c r="B65" s="157"/>
      <c r="C65" s="27"/>
      <c r="D65" s="69"/>
      <c r="E65" s="40"/>
      <c r="F65" s="28"/>
    </row>
    <row r="66" spans="1:3" ht="25.5">
      <c r="A66" s="54" t="s">
        <v>42</v>
      </c>
      <c r="B66" s="7" t="s">
        <v>335</v>
      </c>
      <c r="C66" s="2"/>
    </row>
    <row r="67" spans="1:6" ht="12.75">
      <c r="A67" s="54"/>
      <c r="C67" s="27"/>
      <c r="D67" s="69"/>
      <c r="E67" s="40"/>
      <c r="F67" s="28"/>
    </row>
    <row r="68" spans="1:6" ht="12.75">
      <c r="A68" s="54"/>
      <c r="B68" s="11" t="s">
        <v>211</v>
      </c>
      <c r="C68" s="27" t="s">
        <v>11</v>
      </c>
      <c r="D68" s="69">
        <f>(0.45*(15.5+36.8)*2+0.45*(2.3*2+36.8)+0.45*(2.5+6*2)*2+0.45*(5.8*2+36.8)+0.45*(2*2+36.4+5.8*2+36.4))*1.01</f>
        <v>141.7131</v>
      </c>
      <c r="E68" s="40"/>
      <c r="F68" s="28"/>
    </row>
    <row r="69" spans="1:6" ht="38.25">
      <c r="A69" s="54"/>
      <c r="B69" s="304" t="s">
        <v>1010</v>
      </c>
      <c r="C69" s="27"/>
      <c r="D69" s="69"/>
      <c r="E69" s="40"/>
      <c r="F69" s="28"/>
    </row>
    <row r="70" spans="1:6" ht="12.75">
      <c r="A70" s="54"/>
      <c r="B70" s="216" t="s">
        <v>156</v>
      </c>
      <c r="C70" s="27" t="s">
        <v>11</v>
      </c>
      <c r="D70" s="273">
        <f>((170+71.7)*0.45)*1.01</f>
        <v>109.85265</v>
      </c>
      <c r="E70" s="40"/>
      <c r="F70" s="28"/>
    </row>
    <row r="71" spans="1:6" ht="12.75">
      <c r="A71" s="54"/>
      <c r="B71" s="144" t="s">
        <v>1011</v>
      </c>
      <c r="C71" s="27"/>
      <c r="D71" s="273"/>
      <c r="E71" s="40"/>
      <c r="F71" s="28"/>
    </row>
    <row r="72" spans="1:6" ht="12.75">
      <c r="A72" s="54"/>
      <c r="B72" s="20" t="s">
        <v>302</v>
      </c>
      <c r="C72" s="27" t="s">
        <v>11</v>
      </c>
      <c r="D72" s="69">
        <f>0.5*(36.25+29.9)*2*1.01+0.5*(36.25+6)*1.01</f>
        <v>88.14775</v>
      </c>
      <c r="E72" s="40"/>
      <c r="F72" s="28"/>
    </row>
    <row r="73" spans="1:6" ht="12.75">
      <c r="A73" s="54"/>
      <c r="B73" s="144" t="s">
        <v>1012</v>
      </c>
      <c r="C73" s="27"/>
      <c r="D73" s="69"/>
      <c r="E73" s="40"/>
      <c r="F73" s="28"/>
    </row>
    <row r="74" spans="1:6" ht="12.75">
      <c r="A74" s="54"/>
      <c r="B74" s="20"/>
      <c r="C74" s="27"/>
      <c r="D74" s="69"/>
      <c r="E74" s="40"/>
      <c r="F74" s="28"/>
    </row>
    <row r="75" spans="1:6" ht="178.5">
      <c r="A75" s="73">
        <f>A33+1</f>
        <v>303</v>
      </c>
      <c r="B75" s="7" t="s">
        <v>128</v>
      </c>
      <c r="C75" s="65"/>
      <c r="D75" s="27"/>
      <c r="E75" s="40"/>
      <c r="F75" s="28"/>
    </row>
    <row r="76" spans="1:6" ht="51">
      <c r="A76" s="54"/>
      <c r="B76" s="7" t="s">
        <v>127</v>
      </c>
      <c r="C76" s="65"/>
      <c r="D76" s="27"/>
      <c r="E76" s="28"/>
      <c r="F76" s="28"/>
    </row>
    <row r="77" spans="1:6" ht="12.75">
      <c r="A77" s="54"/>
      <c r="B77" s="303" t="s">
        <v>1013</v>
      </c>
      <c r="C77" s="27" t="s">
        <v>11</v>
      </c>
      <c r="D77" s="69">
        <v>394.1</v>
      </c>
      <c r="E77" s="40"/>
      <c r="F77" s="28"/>
    </row>
    <row r="78" spans="1:6" ht="12.75">
      <c r="A78" s="54"/>
      <c r="B78" s="29"/>
      <c r="C78" s="65"/>
      <c r="D78" s="27"/>
      <c r="E78" s="40"/>
      <c r="F78" s="28"/>
    </row>
    <row r="79" spans="1:6" ht="25.5">
      <c r="A79" s="73">
        <f>A75+1</f>
        <v>304</v>
      </c>
      <c r="B79" s="296" t="s">
        <v>212</v>
      </c>
      <c r="C79" s="65"/>
      <c r="D79" s="27"/>
      <c r="E79" s="28"/>
      <c r="F79" s="28"/>
    </row>
    <row r="80" spans="1:2" ht="38.25">
      <c r="A80" s="58"/>
      <c r="B80" s="7" t="s">
        <v>117</v>
      </c>
    </row>
    <row r="81" spans="1:2" ht="114.75">
      <c r="A81" s="58"/>
      <c r="B81" s="297" t="s">
        <v>213</v>
      </c>
    </row>
    <row r="82" spans="1:2" ht="89.25">
      <c r="A82" s="58"/>
      <c r="B82" s="297" t="s">
        <v>790</v>
      </c>
    </row>
    <row r="83" spans="1:2" ht="89.25">
      <c r="A83" s="58"/>
      <c r="B83" s="297" t="s">
        <v>214</v>
      </c>
    </row>
    <row r="84" spans="1:2" ht="12.75">
      <c r="A84" s="58"/>
      <c r="B84" s="145" t="s">
        <v>124</v>
      </c>
    </row>
    <row r="85" spans="1:2" ht="153">
      <c r="A85" s="58"/>
      <c r="B85" s="145" t="s">
        <v>121</v>
      </c>
    </row>
    <row r="86" spans="1:2" ht="204">
      <c r="A86" s="58"/>
      <c r="B86" s="145" t="s">
        <v>119</v>
      </c>
    </row>
    <row r="87" spans="1:2" ht="12.75">
      <c r="A87" s="58"/>
      <c r="B87" s="145" t="s">
        <v>124</v>
      </c>
    </row>
    <row r="88" spans="1:2" ht="63.75">
      <c r="A88" s="58"/>
      <c r="B88" s="145" t="s">
        <v>217</v>
      </c>
    </row>
    <row r="89" spans="1:2" ht="76.5">
      <c r="A89" s="58"/>
      <c r="B89" s="145" t="s">
        <v>218</v>
      </c>
    </row>
    <row r="90" spans="1:2" ht="89.25">
      <c r="A90" s="58"/>
      <c r="B90" s="298" t="s">
        <v>219</v>
      </c>
    </row>
    <row r="91" spans="1:2" ht="25.5">
      <c r="A91" s="58"/>
      <c r="B91" s="145" t="s">
        <v>130</v>
      </c>
    </row>
    <row r="92" spans="1:2" ht="25.5">
      <c r="A92" s="58"/>
      <c r="B92" s="7" t="s">
        <v>346</v>
      </c>
    </row>
    <row r="93" spans="1:2" ht="12.75">
      <c r="A93" s="58"/>
      <c r="B93" s="7" t="s">
        <v>215</v>
      </c>
    </row>
    <row r="94" spans="1:6" ht="12.75">
      <c r="A94" s="54"/>
      <c r="B94" s="67" t="s">
        <v>1014</v>
      </c>
      <c r="C94" s="27" t="s">
        <v>11</v>
      </c>
      <c r="D94" s="69">
        <v>212.7</v>
      </c>
      <c r="E94" s="40"/>
      <c r="F94" s="28"/>
    </row>
    <row r="95" spans="1:6" ht="12.75">
      <c r="A95" s="55"/>
      <c r="B95" s="29"/>
      <c r="C95" s="65"/>
      <c r="D95" s="27"/>
      <c r="E95" s="30"/>
      <c r="F95" s="30"/>
    </row>
    <row r="96" spans="1:6" ht="25.5">
      <c r="A96" s="186">
        <f>A79+1</f>
        <v>305</v>
      </c>
      <c r="B96" s="296" t="s">
        <v>342</v>
      </c>
      <c r="C96" s="65"/>
      <c r="D96" s="27"/>
      <c r="E96" s="30"/>
      <c r="F96" s="30"/>
    </row>
    <row r="97" spans="1:2" ht="38.25">
      <c r="A97" s="58"/>
      <c r="B97" s="7" t="s">
        <v>117</v>
      </c>
    </row>
    <row r="98" spans="1:2" ht="114.75">
      <c r="A98" s="58"/>
      <c r="B98" s="297" t="s">
        <v>213</v>
      </c>
    </row>
    <row r="99" spans="1:2" ht="76.5">
      <c r="A99" s="58"/>
      <c r="B99" s="297" t="s">
        <v>343</v>
      </c>
    </row>
    <row r="100" spans="1:2" ht="89.25">
      <c r="A100" s="58"/>
      <c r="B100" s="297" t="s">
        <v>214</v>
      </c>
    </row>
    <row r="101" spans="1:2" ht="12.75">
      <c r="A101" s="58"/>
      <c r="B101" s="145" t="s">
        <v>124</v>
      </c>
    </row>
    <row r="102" spans="1:2" ht="153">
      <c r="A102" s="58"/>
      <c r="B102" s="145" t="s">
        <v>121</v>
      </c>
    </row>
    <row r="103" spans="1:2" ht="204">
      <c r="A103" s="58"/>
      <c r="B103" s="145" t="s">
        <v>119</v>
      </c>
    </row>
    <row r="104" spans="1:2" ht="12.75">
      <c r="A104" s="58"/>
      <c r="B104" s="145" t="s">
        <v>124</v>
      </c>
    </row>
    <row r="105" spans="1:2" ht="89.25">
      <c r="A105" s="58"/>
      <c r="B105" s="297" t="s">
        <v>790</v>
      </c>
    </row>
    <row r="106" spans="1:2" ht="89.25">
      <c r="A106" s="58"/>
      <c r="B106" s="297" t="s">
        <v>214</v>
      </c>
    </row>
    <row r="107" spans="1:2" ht="63.75">
      <c r="A107" s="58"/>
      <c r="B107" s="145" t="s">
        <v>217</v>
      </c>
    </row>
    <row r="108" spans="1:2" ht="76.5">
      <c r="A108" s="58"/>
      <c r="B108" s="145" t="s">
        <v>218</v>
      </c>
    </row>
    <row r="109" spans="1:2" ht="89.25">
      <c r="A109" s="58"/>
      <c r="B109" s="223" t="s">
        <v>219</v>
      </c>
    </row>
    <row r="110" spans="1:2" ht="25.5">
      <c r="A110" s="58"/>
      <c r="B110" s="145" t="s">
        <v>130</v>
      </c>
    </row>
    <row r="111" spans="1:6" ht="25.5">
      <c r="A111" s="55"/>
      <c r="B111" s="7" t="s">
        <v>346</v>
      </c>
      <c r="C111" s="65"/>
      <c r="D111" s="27"/>
      <c r="E111" s="30"/>
      <c r="F111" s="30"/>
    </row>
    <row r="112" spans="1:6" ht="12.75">
      <c r="A112" s="55"/>
      <c r="B112" s="7" t="s">
        <v>344</v>
      </c>
      <c r="C112" s="65"/>
      <c r="D112" s="27"/>
      <c r="E112" s="30"/>
      <c r="F112" s="30"/>
    </row>
    <row r="113" spans="1:6" ht="12.75">
      <c r="A113" s="55"/>
      <c r="B113" s="210" t="s">
        <v>1015</v>
      </c>
      <c r="C113" s="27" t="s">
        <v>11</v>
      </c>
      <c r="D113" s="69">
        <v>127.4</v>
      </c>
      <c r="E113" s="40"/>
      <c r="F113" s="28"/>
    </row>
    <row r="114" spans="1:6" ht="12.75">
      <c r="A114" s="55"/>
      <c r="B114" s="210"/>
      <c r="C114" s="27"/>
      <c r="D114" s="69"/>
      <c r="E114" s="40"/>
      <c r="F114" s="28"/>
    </row>
    <row r="115" spans="1:6" ht="38.25">
      <c r="A115" s="73">
        <f>A96+1</f>
        <v>306</v>
      </c>
      <c r="B115" s="7" t="s">
        <v>347</v>
      </c>
      <c r="C115" s="65"/>
      <c r="D115" s="27"/>
      <c r="E115" s="30"/>
      <c r="F115" s="30"/>
    </row>
    <row r="116" spans="1:6" ht="12.75">
      <c r="A116" s="54"/>
      <c r="B116" s="7" t="s">
        <v>122</v>
      </c>
      <c r="C116" s="65"/>
      <c r="D116" s="27"/>
      <c r="E116" s="30"/>
      <c r="F116" s="30"/>
    </row>
    <row r="117" spans="1:6" ht="51">
      <c r="A117" s="54" t="s">
        <v>39</v>
      </c>
      <c r="B117" s="7" t="s">
        <v>339</v>
      </c>
      <c r="C117" s="65"/>
      <c r="D117" s="27"/>
      <c r="E117" s="30"/>
      <c r="F117" s="30"/>
    </row>
    <row r="118" spans="1:6" ht="12.75">
      <c r="A118" s="54"/>
      <c r="B118" s="20" t="s">
        <v>1016</v>
      </c>
      <c r="C118" s="27" t="s">
        <v>11</v>
      </c>
      <c r="D118" s="41">
        <v>25.8</v>
      </c>
      <c r="E118" s="40"/>
      <c r="F118" s="28"/>
    </row>
    <row r="119" spans="1:6" ht="12.75">
      <c r="A119" s="54"/>
      <c r="B119" s="29"/>
      <c r="C119" s="65"/>
      <c r="D119" s="27"/>
      <c r="E119" s="30"/>
      <c r="F119" s="30"/>
    </row>
    <row r="120" spans="1:3" ht="38.25">
      <c r="A120" s="54"/>
      <c r="B120" s="7" t="s">
        <v>348</v>
      </c>
      <c r="C120" s="2"/>
    </row>
    <row r="121" spans="1:6" ht="12.75">
      <c r="A121" s="54"/>
      <c r="B121" s="157"/>
      <c r="C121" s="27"/>
      <c r="D121" s="69"/>
      <c r="E121" s="40"/>
      <c r="F121" s="28"/>
    </row>
    <row r="122" spans="1:6" ht="76.5">
      <c r="A122" s="54" t="s">
        <v>40</v>
      </c>
      <c r="B122" s="7" t="s">
        <v>125</v>
      </c>
      <c r="C122" s="65"/>
      <c r="D122" s="27"/>
      <c r="E122" s="40"/>
      <c r="F122" s="28"/>
    </row>
    <row r="123" spans="1:3" ht="153">
      <c r="A123" s="54"/>
      <c r="B123" s="7" t="s">
        <v>126</v>
      </c>
      <c r="C123" s="2"/>
    </row>
    <row r="124" spans="1:3" ht="38.25">
      <c r="A124" s="54"/>
      <c r="B124" s="7" t="s">
        <v>129</v>
      </c>
      <c r="C124" s="2"/>
    </row>
    <row r="125" spans="1:6" ht="12.75">
      <c r="A125" s="54"/>
      <c r="B125" s="20" t="s">
        <v>1017</v>
      </c>
      <c r="C125" s="27" t="s">
        <v>11</v>
      </c>
      <c r="D125" s="69">
        <v>45.05</v>
      </c>
      <c r="E125" s="40"/>
      <c r="F125" s="28"/>
    </row>
    <row r="126" spans="1:6" ht="12.75">
      <c r="A126" s="55"/>
      <c r="B126" s="210"/>
      <c r="C126" s="27"/>
      <c r="D126" s="69"/>
      <c r="E126" s="40"/>
      <c r="F126" s="28"/>
    </row>
    <row r="127" spans="1:3" ht="25.5">
      <c r="A127" s="186">
        <f>A115+1</f>
        <v>307</v>
      </c>
      <c r="B127" s="296" t="s">
        <v>349</v>
      </c>
      <c r="C127" s="2"/>
    </row>
    <row r="128" spans="1:2" ht="38.25">
      <c r="A128" s="58"/>
      <c r="B128" s="7" t="s">
        <v>117</v>
      </c>
    </row>
    <row r="129" spans="1:2" ht="114.75">
      <c r="A129" s="58"/>
      <c r="B129" s="297" t="s">
        <v>350</v>
      </c>
    </row>
    <row r="130" spans="1:2" ht="89.25">
      <c r="A130" s="58"/>
      <c r="B130" s="297" t="s">
        <v>790</v>
      </c>
    </row>
    <row r="131" spans="1:2" ht="89.25">
      <c r="A131" s="58"/>
      <c r="B131" s="297" t="s">
        <v>214</v>
      </c>
    </row>
    <row r="132" spans="1:2" ht="12.75">
      <c r="A132" s="58"/>
      <c r="B132" s="145" t="s">
        <v>124</v>
      </c>
    </row>
    <row r="133" spans="1:2" ht="153">
      <c r="A133" s="58"/>
      <c r="B133" s="145" t="s">
        <v>121</v>
      </c>
    </row>
    <row r="134" spans="1:2" ht="204">
      <c r="A134" s="58"/>
      <c r="B134" s="145" t="s">
        <v>119</v>
      </c>
    </row>
    <row r="135" spans="1:2" ht="12.75">
      <c r="A135" s="58"/>
      <c r="B135" s="145" t="s">
        <v>124</v>
      </c>
    </row>
    <row r="136" spans="1:2" ht="63.75">
      <c r="A136" s="58"/>
      <c r="B136" s="145" t="s">
        <v>217</v>
      </c>
    </row>
    <row r="137" spans="1:2" ht="76.5">
      <c r="A137" s="58"/>
      <c r="B137" s="145" t="s">
        <v>218</v>
      </c>
    </row>
    <row r="138" spans="1:2" ht="89.25">
      <c r="A138" s="58"/>
      <c r="B138" s="298" t="s">
        <v>219</v>
      </c>
    </row>
    <row r="139" spans="1:2" ht="25.5">
      <c r="A139" s="58"/>
      <c r="B139" s="145" t="s">
        <v>130</v>
      </c>
    </row>
    <row r="140" spans="1:2" ht="25.5">
      <c r="A140" s="58"/>
      <c r="B140" s="7" t="s">
        <v>346</v>
      </c>
    </row>
    <row r="141" spans="1:6" ht="12.75">
      <c r="A141" s="55"/>
      <c r="B141" s="20" t="s">
        <v>1018</v>
      </c>
      <c r="C141" s="27" t="s">
        <v>11</v>
      </c>
      <c r="D141" s="69">
        <f>1.6*1.1</f>
        <v>1.7600000000000002</v>
      </c>
      <c r="E141" s="40"/>
      <c r="F141" s="28"/>
    </row>
    <row r="142" spans="1:6" ht="12.75">
      <c r="A142" s="55"/>
      <c r="B142" s="29"/>
      <c r="C142" s="65"/>
      <c r="D142" s="27"/>
      <c r="E142" s="30"/>
      <c r="F142" s="30"/>
    </row>
    <row r="143" spans="1:6" ht="25.5">
      <c r="A143" s="73">
        <f>A127+1</f>
        <v>308</v>
      </c>
      <c r="B143" s="296" t="s">
        <v>341</v>
      </c>
      <c r="C143" s="65"/>
      <c r="D143" s="27"/>
      <c r="E143" s="28"/>
      <c r="F143" s="28"/>
    </row>
    <row r="144" spans="1:2" ht="38.25">
      <c r="A144" s="58"/>
      <c r="B144" s="7" t="s">
        <v>117</v>
      </c>
    </row>
    <row r="145" spans="1:2" ht="114.75">
      <c r="A145" s="58"/>
      <c r="B145" s="297" t="s">
        <v>331</v>
      </c>
    </row>
    <row r="146" spans="1:2" ht="89.25">
      <c r="A146" s="58"/>
      <c r="B146" s="297" t="s">
        <v>791</v>
      </c>
    </row>
    <row r="147" spans="1:2" ht="89.25">
      <c r="A147" s="58"/>
      <c r="B147" s="297" t="s">
        <v>214</v>
      </c>
    </row>
    <row r="148" spans="1:2" ht="12.75">
      <c r="A148" s="58"/>
      <c r="B148" s="145" t="s">
        <v>124</v>
      </c>
    </row>
    <row r="149" spans="1:2" ht="162.75" customHeight="1">
      <c r="A149" s="58"/>
      <c r="B149" s="145" t="s">
        <v>121</v>
      </c>
    </row>
    <row r="150" spans="1:2" ht="204">
      <c r="A150" s="58"/>
      <c r="B150" s="145" t="s">
        <v>119</v>
      </c>
    </row>
    <row r="151" spans="1:2" ht="25.5">
      <c r="A151" s="58"/>
      <c r="B151" s="145" t="s">
        <v>130</v>
      </c>
    </row>
    <row r="152" spans="1:2" ht="25.5">
      <c r="A152" s="58"/>
      <c r="B152" s="7" t="s">
        <v>345</v>
      </c>
    </row>
    <row r="153" spans="1:2" ht="12.75">
      <c r="A153" s="58"/>
      <c r="B153" s="7" t="s">
        <v>340</v>
      </c>
    </row>
    <row r="154" spans="1:6" ht="12.75">
      <c r="A154" s="58"/>
      <c r="B154" s="20" t="s">
        <v>1019</v>
      </c>
      <c r="C154" s="27" t="s">
        <v>11</v>
      </c>
      <c r="D154" s="69">
        <f>56.1</f>
        <v>56.1</v>
      </c>
      <c r="E154" s="40"/>
      <c r="F154" s="28"/>
    </row>
    <row r="155" spans="1:6" ht="12.75">
      <c r="A155" s="58"/>
      <c r="B155" s="7"/>
      <c r="C155" s="27"/>
      <c r="D155" s="69"/>
      <c r="E155" s="40"/>
      <c r="F155" s="28"/>
    </row>
    <row r="156" spans="1:6" ht="25.5">
      <c r="A156" s="73">
        <f>A143+1</f>
        <v>309</v>
      </c>
      <c r="B156" s="7" t="s">
        <v>351</v>
      </c>
      <c r="C156" s="65"/>
      <c r="D156" s="27"/>
      <c r="E156" s="30"/>
      <c r="F156" s="30"/>
    </row>
    <row r="157" spans="1:6" ht="12.75">
      <c r="A157" s="54"/>
      <c r="B157" s="7" t="s">
        <v>122</v>
      </c>
      <c r="C157" s="65"/>
      <c r="D157" s="27"/>
      <c r="E157" s="30"/>
      <c r="F157" s="30"/>
    </row>
    <row r="158" spans="1:6" ht="51">
      <c r="A158" s="54" t="s">
        <v>39</v>
      </c>
      <c r="B158" s="7" t="s">
        <v>339</v>
      </c>
      <c r="C158" s="65"/>
      <c r="D158" s="27"/>
      <c r="E158" s="30"/>
      <c r="F158" s="30"/>
    </row>
    <row r="159" spans="1:6" ht="12.75">
      <c r="A159" s="54"/>
      <c r="B159" s="20" t="s">
        <v>1020</v>
      </c>
      <c r="C159" s="27" t="s">
        <v>11</v>
      </c>
      <c r="D159" s="41">
        <v>8</v>
      </c>
      <c r="E159" s="40"/>
      <c r="F159" s="28"/>
    </row>
    <row r="160" spans="1:6" ht="12.75">
      <c r="A160" s="54"/>
      <c r="B160" s="29"/>
      <c r="C160" s="65"/>
      <c r="D160" s="27"/>
      <c r="E160" s="30"/>
      <c r="F160" s="30"/>
    </row>
    <row r="161" spans="1:3" ht="25.5">
      <c r="A161" s="54" t="s">
        <v>40</v>
      </c>
      <c r="B161" s="7" t="s">
        <v>123</v>
      </c>
      <c r="C161" s="2"/>
    </row>
    <row r="162" spans="1:6" ht="12.75">
      <c r="A162" s="54"/>
      <c r="B162" s="20" t="s">
        <v>1021</v>
      </c>
      <c r="C162" s="27" t="s">
        <v>11</v>
      </c>
      <c r="D162" s="69">
        <f>0.4*26.62</f>
        <v>10.648000000000001</v>
      </c>
      <c r="E162" s="40"/>
      <c r="F162" s="28"/>
    </row>
    <row r="163" spans="1:6" ht="12.75">
      <c r="A163" s="54"/>
      <c r="B163" s="157"/>
      <c r="C163" s="27"/>
      <c r="D163" s="69"/>
      <c r="E163" s="40"/>
      <c r="F163" s="28"/>
    </row>
    <row r="164" spans="1:6" ht="76.5">
      <c r="A164" s="54" t="s">
        <v>41</v>
      </c>
      <c r="B164" s="7" t="s">
        <v>125</v>
      </c>
      <c r="C164" s="65"/>
      <c r="D164" s="27"/>
      <c r="E164" s="40"/>
      <c r="F164" s="28"/>
    </row>
    <row r="165" spans="1:3" ht="159" customHeight="1">
      <c r="A165" s="54"/>
      <c r="B165" s="7" t="s">
        <v>126</v>
      </c>
      <c r="C165" s="2"/>
    </row>
    <row r="166" spans="1:3" ht="38.25">
      <c r="A166" s="54"/>
      <c r="B166" s="7" t="s">
        <v>129</v>
      </c>
      <c r="C166" s="2"/>
    </row>
    <row r="167" spans="1:6" ht="12.75">
      <c r="A167" s="54"/>
      <c r="B167" s="20" t="s">
        <v>1022</v>
      </c>
      <c r="C167" s="27" t="s">
        <v>11</v>
      </c>
      <c r="D167" s="69">
        <f>0.8*26.62</f>
        <v>21.296000000000003</v>
      </c>
      <c r="E167" s="40"/>
      <c r="F167" s="28"/>
    </row>
    <row r="168" spans="1:6" ht="12.75">
      <c r="A168" s="54"/>
      <c r="B168" s="157"/>
      <c r="C168" s="27"/>
      <c r="D168" s="69"/>
      <c r="E168" s="40"/>
      <c r="F168" s="28"/>
    </row>
    <row r="169" spans="1:3" ht="25.5">
      <c r="A169" s="54" t="s">
        <v>42</v>
      </c>
      <c r="B169" s="7" t="s">
        <v>335</v>
      </c>
      <c r="C169" s="2"/>
    </row>
    <row r="170" spans="1:6" ht="12.75">
      <c r="A170" s="54"/>
      <c r="C170" s="27"/>
      <c r="D170" s="69"/>
      <c r="E170" s="40"/>
      <c r="F170" s="28"/>
    </row>
    <row r="171" spans="1:6" s="238" customFormat="1" ht="12.75">
      <c r="A171" s="239"/>
      <c r="B171" s="20" t="s">
        <v>1023</v>
      </c>
      <c r="C171" s="27" t="s">
        <v>11</v>
      </c>
      <c r="D171" s="69">
        <v>12</v>
      </c>
      <c r="E171" s="40"/>
      <c r="F171" s="28"/>
    </row>
    <row r="172" spans="1:6" ht="12.75">
      <c r="A172" s="54"/>
      <c r="B172" s="29"/>
      <c r="C172" s="65"/>
      <c r="D172" s="27"/>
      <c r="E172" s="30"/>
      <c r="F172" s="30"/>
    </row>
    <row r="173" spans="1:6" ht="25.5">
      <c r="A173" s="73">
        <f>A156+1</f>
        <v>310</v>
      </c>
      <c r="B173" s="296" t="s">
        <v>352</v>
      </c>
      <c r="C173" s="65"/>
      <c r="D173" s="27"/>
      <c r="E173" s="30"/>
      <c r="F173" s="30"/>
    </row>
    <row r="174" spans="1:2" ht="38.25">
      <c r="A174" s="58"/>
      <c r="B174" s="7" t="s">
        <v>117</v>
      </c>
    </row>
    <row r="175" spans="1:2" ht="114.75">
      <c r="A175" s="58"/>
      <c r="B175" s="297" t="s">
        <v>353</v>
      </c>
    </row>
    <row r="176" spans="1:2" ht="12.75">
      <c r="A176" s="58"/>
      <c r="B176" s="145" t="s">
        <v>124</v>
      </c>
    </row>
    <row r="177" spans="1:2" ht="153">
      <c r="A177" s="58"/>
      <c r="B177" s="145" t="s">
        <v>121</v>
      </c>
    </row>
    <row r="178" spans="1:2" ht="208.5" customHeight="1">
      <c r="A178" s="58"/>
      <c r="B178" s="145" t="s">
        <v>119</v>
      </c>
    </row>
    <row r="179" spans="1:2" ht="12.75">
      <c r="A179" s="58"/>
      <c r="B179" s="145" t="s">
        <v>124</v>
      </c>
    </row>
    <row r="180" spans="1:2" ht="76.5">
      <c r="A180" s="58"/>
      <c r="B180" s="297" t="s">
        <v>792</v>
      </c>
    </row>
    <row r="181" spans="1:2" ht="89.25">
      <c r="A181" s="58"/>
      <c r="B181" s="297" t="s">
        <v>214</v>
      </c>
    </row>
    <row r="182" spans="1:2" ht="51">
      <c r="A182" s="58"/>
      <c r="B182" s="274" t="s">
        <v>456</v>
      </c>
    </row>
    <row r="183" spans="1:2" ht="25.5">
      <c r="A183" s="58"/>
      <c r="B183" s="145" t="s">
        <v>130</v>
      </c>
    </row>
    <row r="184" spans="1:2" ht="25.5">
      <c r="A184" s="58"/>
      <c r="B184" s="7" t="s">
        <v>346</v>
      </c>
    </row>
    <row r="185" spans="1:6" ht="12.75">
      <c r="A185" s="58"/>
      <c r="B185" s="7" t="s">
        <v>1024</v>
      </c>
      <c r="C185" s="27" t="s">
        <v>11</v>
      </c>
      <c r="D185" s="69">
        <v>312.6</v>
      </c>
      <c r="E185" s="40"/>
      <c r="F185" s="28"/>
    </row>
    <row r="186" spans="1:6" ht="12.75">
      <c r="A186" s="54"/>
      <c r="B186" s="29"/>
      <c r="C186" s="65"/>
      <c r="D186" s="27"/>
      <c r="E186" s="30"/>
      <c r="F186" s="30"/>
    </row>
    <row r="187" spans="1:6" ht="38.25">
      <c r="A187" s="73">
        <f>A173+1</f>
        <v>311</v>
      </c>
      <c r="B187" s="7" t="s">
        <v>354</v>
      </c>
      <c r="C187" s="65"/>
      <c r="D187" s="27"/>
      <c r="E187" s="30"/>
      <c r="F187" s="30"/>
    </row>
    <row r="188" spans="1:6" ht="12.75">
      <c r="A188" s="54"/>
      <c r="B188" s="7" t="s">
        <v>122</v>
      </c>
      <c r="C188" s="65"/>
      <c r="D188" s="27"/>
      <c r="E188" s="30"/>
      <c r="F188" s="30"/>
    </row>
    <row r="189" spans="1:6" ht="51">
      <c r="A189" s="54" t="s">
        <v>39</v>
      </c>
      <c r="B189" s="7" t="s">
        <v>339</v>
      </c>
      <c r="C189" s="65"/>
      <c r="D189" s="27"/>
      <c r="E189" s="30"/>
      <c r="F189" s="30"/>
    </row>
    <row r="190" spans="1:6" ht="12.75">
      <c r="A190" s="54"/>
      <c r="B190" s="20" t="s">
        <v>1025</v>
      </c>
      <c r="C190" s="27" t="s">
        <v>11</v>
      </c>
      <c r="D190" s="41">
        <v>21.55</v>
      </c>
      <c r="E190" s="40"/>
      <c r="F190" s="28"/>
    </row>
    <row r="191" spans="1:6" ht="12.75">
      <c r="A191" s="54"/>
      <c r="B191" s="29"/>
      <c r="C191" s="65"/>
      <c r="D191" s="27"/>
      <c r="E191" s="30"/>
      <c r="F191" s="30"/>
    </row>
    <row r="192" spans="1:3" ht="25.5">
      <c r="A192" s="54" t="s">
        <v>40</v>
      </c>
      <c r="B192" s="7" t="s">
        <v>123</v>
      </c>
      <c r="C192" s="2"/>
    </row>
    <row r="193" spans="1:6" ht="12.75">
      <c r="A193" s="54"/>
      <c r="B193" s="20" t="s">
        <v>1026</v>
      </c>
      <c r="C193" s="27" t="s">
        <v>11</v>
      </c>
      <c r="D193" s="41">
        <v>21.55</v>
      </c>
      <c r="E193" s="40"/>
      <c r="F193" s="28"/>
    </row>
    <row r="194" spans="1:6" ht="12.75">
      <c r="A194" s="54"/>
      <c r="B194" s="157"/>
      <c r="C194" s="27"/>
      <c r="D194" s="69"/>
      <c r="E194" s="40"/>
      <c r="F194" s="28"/>
    </row>
    <row r="195" spans="1:6" ht="76.5">
      <c r="A195" s="54" t="s">
        <v>41</v>
      </c>
      <c r="B195" s="7" t="s">
        <v>125</v>
      </c>
      <c r="C195" s="65"/>
      <c r="D195" s="27"/>
      <c r="E195" s="40"/>
      <c r="F195" s="28"/>
    </row>
    <row r="196" spans="1:3" ht="153">
      <c r="A196" s="54"/>
      <c r="B196" s="7" t="s">
        <v>126</v>
      </c>
      <c r="C196" s="2"/>
    </row>
    <row r="197" spans="1:3" ht="38.25">
      <c r="A197" s="54"/>
      <c r="B197" s="7" t="s">
        <v>129</v>
      </c>
      <c r="C197" s="2"/>
    </row>
    <row r="198" spans="1:6" ht="12.75">
      <c r="A198" s="54"/>
      <c r="B198" s="20" t="s">
        <v>995</v>
      </c>
      <c r="C198" s="27" t="s">
        <v>11</v>
      </c>
      <c r="D198" s="69">
        <v>50.25</v>
      </c>
      <c r="E198" s="40"/>
      <c r="F198" s="28"/>
    </row>
    <row r="199" spans="1:6" ht="12.75">
      <c r="A199" s="54"/>
      <c r="B199" s="20"/>
      <c r="C199" s="27"/>
      <c r="D199" s="69"/>
      <c r="E199" s="40"/>
      <c r="F199" s="28"/>
    </row>
    <row r="200" spans="1:6" ht="38.25">
      <c r="A200" s="55"/>
      <c r="B200" s="274" t="s">
        <v>457</v>
      </c>
      <c r="C200" s="27"/>
      <c r="D200" s="27"/>
      <c r="E200" s="28"/>
      <c r="F200" s="28"/>
    </row>
    <row r="201" spans="1:6" ht="12.75">
      <c r="A201" s="55"/>
      <c r="B201" s="145"/>
      <c r="C201" s="27"/>
      <c r="D201" s="27"/>
      <c r="E201" s="28"/>
      <c r="F201" s="28"/>
    </row>
    <row r="202" spans="1:6" s="41" customFormat="1" ht="12.75">
      <c r="A202" s="55"/>
      <c r="B202" s="29"/>
      <c r="C202" s="65"/>
      <c r="D202" s="27"/>
      <c r="E202" s="30"/>
      <c r="F202" s="30"/>
    </row>
    <row r="203" spans="1:6" s="41" customFormat="1" ht="12.75">
      <c r="A203" s="46">
        <f>A4</f>
        <v>300</v>
      </c>
      <c r="B203" s="33" t="str">
        <f>B4</f>
        <v>POKRIVAČKI RADOVI</v>
      </c>
      <c r="C203" s="66" t="s">
        <v>1485</v>
      </c>
      <c r="D203" s="13"/>
      <c r="E203" s="14"/>
      <c r="F203" s="15"/>
    </row>
    <row r="204" spans="1:6" s="41" customFormat="1" ht="12.75">
      <c r="A204" s="299"/>
      <c r="B204" s="1"/>
      <c r="C204" s="300"/>
      <c r="D204" s="1"/>
      <c r="E204" s="301"/>
      <c r="F204" s="302"/>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8" manualBreakCount="8">
    <brk id="36" max="5" man="1"/>
    <brk id="67" max="5" man="1"/>
    <brk id="95" max="5" man="1"/>
    <brk id="130" max="5" man="1"/>
    <brk id="139" max="5" man="1"/>
    <brk id="149" max="5" man="1"/>
    <brk id="167" max="5" man="1"/>
    <brk id="179" max="5" man="1"/>
  </rowBreaks>
</worksheet>
</file>

<file path=xl/worksheets/sheet6.xml><?xml version="1.0" encoding="utf-8"?>
<worksheet xmlns="http://schemas.openxmlformats.org/spreadsheetml/2006/main" xmlns:r="http://schemas.openxmlformats.org/officeDocument/2006/relationships">
  <dimension ref="A1:I300"/>
  <sheetViews>
    <sheetView zoomScaleSheetLayoutView="110" zoomScalePageLayoutView="0" workbookViewId="0" topLeftCell="A1">
      <pane ySplit="2" topLeftCell="A285" activePane="bottomLeft" state="frozen"/>
      <selection pane="topLeft" activeCell="C203" sqref="C203"/>
      <selection pane="bottomLeft" activeCell="C203" sqref="C203"/>
    </sheetView>
  </sheetViews>
  <sheetFormatPr defaultColWidth="8.88671875" defaultRowHeight="15"/>
  <cols>
    <col min="1" max="1" width="5.77734375" style="22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f>pokrivacki!A4+100</f>
        <v>400</v>
      </c>
      <c r="B4" s="82" t="s">
        <v>33</v>
      </c>
      <c r="C4" s="63"/>
      <c r="D4" s="13"/>
      <c r="E4" s="13"/>
      <c r="F4" s="13"/>
    </row>
    <row r="5" spans="1:6" ht="12.75">
      <c r="A5" s="73"/>
      <c r="B5" s="217"/>
      <c r="C5" s="59"/>
      <c r="D5" s="3"/>
      <c r="E5" s="3"/>
      <c r="F5" s="3"/>
    </row>
    <row r="6" spans="1:6" ht="159.75" customHeight="1">
      <c r="A6" s="73"/>
      <c r="B6" s="22" t="s">
        <v>233</v>
      </c>
      <c r="C6" s="59"/>
      <c r="D6" s="3"/>
      <c r="E6" s="3"/>
      <c r="F6" s="3"/>
    </row>
    <row r="7" spans="1:6" ht="12.75">
      <c r="A7" s="73"/>
      <c r="B7" s="74"/>
      <c r="C7" s="59"/>
      <c r="D7" s="3"/>
      <c r="E7" s="3"/>
      <c r="F7" s="3"/>
    </row>
    <row r="8" spans="1:6" ht="25.5">
      <c r="A8" s="73">
        <f>A4+1</f>
        <v>401</v>
      </c>
      <c r="B8" s="218" t="s">
        <v>248</v>
      </c>
      <c r="C8" s="59"/>
      <c r="D8" s="3"/>
      <c r="E8" s="3"/>
      <c r="F8" s="3"/>
    </row>
    <row r="9" spans="1:6" ht="38.25">
      <c r="A9" s="73"/>
      <c r="B9" s="39" t="s">
        <v>249</v>
      </c>
      <c r="C9" s="59"/>
      <c r="D9" s="3"/>
      <c r="E9" s="3"/>
      <c r="F9" s="3"/>
    </row>
    <row r="10" spans="1:6" ht="51">
      <c r="A10" s="73"/>
      <c r="B10" s="220" t="s">
        <v>250</v>
      </c>
      <c r="C10" s="59"/>
      <c r="D10" s="3"/>
      <c r="E10" s="3"/>
      <c r="F10" s="3"/>
    </row>
    <row r="11" spans="1:6" ht="153">
      <c r="A11" s="73"/>
      <c r="B11" s="145" t="s">
        <v>245</v>
      </c>
      <c r="C11" s="59"/>
      <c r="D11" s="3"/>
      <c r="E11" s="3"/>
      <c r="F11" s="3"/>
    </row>
    <row r="12" spans="1:6" ht="114.75">
      <c r="A12" s="73"/>
      <c r="B12" s="145" t="s">
        <v>246</v>
      </c>
      <c r="C12" s="59"/>
      <c r="D12" s="3"/>
      <c r="E12" s="3"/>
      <c r="F12" s="3"/>
    </row>
    <row r="13" spans="1:6" ht="25.5">
      <c r="A13" s="73"/>
      <c r="B13" s="221" t="s">
        <v>251</v>
      </c>
      <c r="C13" s="59"/>
      <c r="D13" s="3"/>
      <c r="E13" s="3"/>
      <c r="F13" s="3"/>
    </row>
    <row r="14" spans="1:6" ht="25.5">
      <c r="A14" s="73"/>
      <c r="B14" s="145" t="s">
        <v>247</v>
      </c>
      <c r="C14" s="59"/>
      <c r="D14" s="3"/>
      <c r="E14" s="3"/>
      <c r="F14" s="3"/>
    </row>
    <row r="15" spans="1:6" ht="41.25" customHeight="1">
      <c r="A15" s="73"/>
      <c r="B15" s="145" t="s">
        <v>252</v>
      </c>
      <c r="C15" s="59"/>
      <c r="D15" s="3"/>
      <c r="E15" s="3"/>
      <c r="F15" s="3"/>
    </row>
    <row r="16" spans="1:6" ht="38.25">
      <c r="A16" s="73"/>
      <c r="B16" s="218" t="s">
        <v>253</v>
      </c>
      <c r="C16" s="59"/>
      <c r="D16" s="3"/>
      <c r="E16" s="3"/>
      <c r="F16" s="3"/>
    </row>
    <row r="17" spans="1:6" ht="12.75">
      <c r="A17" s="73"/>
      <c r="B17" s="218" t="s">
        <v>34</v>
      </c>
      <c r="C17" s="27"/>
      <c r="D17" s="69"/>
      <c r="E17" s="40"/>
      <c r="F17" s="28"/>
    </row>
    <row r="18" spans="1:6" ht="12.75">
      <c r="A18" s="73"/>
      <c r="B18" s="156" t="s">
        <v>1095</v>
      </c>
      <c r="C18" s="27" t="s">
        <v>11</v>
      </c>
      <c r="D18" s="69">
        <v>968</v>
      </c>
      <c r="E18" s="40"/>
      <c r="F18" s="28"/>
    </row>
    <row r="19" spans="1:6" ht="25.5">
      <c r="A19" s="73"/>
      <c r="B19" s="156" t="s">
        <v>1096</v>
      </c>
      <c r="C19" s="27" t="s">
        <v>11</v>
      </c>
      <c r="D19" s="69">
        <v>1956.01</v>
      </c>
      <c r="E19" s="40"/>
      <c r="F19" s="28"/>
    </row>
    <row r="20" spans="1:6" ht="27.75" customHeight="1">
      <c r="A20" s="73"/>
      <c r="B20" s="156" t="s">
        <v>1097</v>
      </c>
      <c r="C20" s="27" t="s">
        <v>11</v>
      </c>
      <c r="D20" s="69">
        <v>1863.05</v>
      </c>
      <c r="E20" s="40"/>
      <c r="F20" s="28"/>
    </row>
    <row r="21" spans="1:6" ht="12.75">
      <c r="A21" s="73"/>
      <c r="B21" s="74"/>
      <c r="C21" s="59"/>
      <c r="D21" s="3"/>
      <c r="E21" s="3"/>
      <c r="F21" s="3"/>
    </row>
    <row r="22" spans="1:6" ht="38.25">
      <c r="A22" s="73">
        <f>A8+1</f>
        <v>402</v>
      </c>
      <c r="B22" s="22" t="s">
        <v>276</v>
      </c>
      <c r="C22" s="59"/>
      <c r="D22" s="3"/>
      <c r="E22" s="3"/>
      <c r="F22" s="3"/>
    </row>
    <row r="23" spans="1:6" ht="102">
      <c r="A23" s="73"/>
      <c r="B23" s="218" t="s">
        <v>240</v>
      </c>
      <c r="C23" s="59"/>
      <c r="D23" s="3"/>
      <c r="E23" s="3"/>
      <c r="F23" s="3"/>
    </row>
    <row r="24" spans="1:6" ht="140.25">
      <c r="A24" s="73"/>
      <c r="B24" s="218" t="s">
        <v>241</v>
      </c>
      <c r="C24" s="59"/>
      <c r="D24" s="3"/>
      <c r="E24" s="3"/>
      <c r="F24" s="3"/>
    </row>
    <row r="25" spans="1:6" ht="114.75">
      <c r="A25" s="73"/>
      <c r="B25" s="218" t="s">
        <v>239</v>
      </c>
      <c r="C25" s="59"/>
      <c r="D25" s="3"/>
      <c r="E25" s="3"/>
      <c r="F25" s="3"/>
    </row>
    <row r="26" spans="1:6" ht="51">
      <c r="A26" s="73"/>
      <c r="B26" s="219" t="s">
        <v>242</v>
      </c>
      <c r="C26" s="59"/>
      <c r="D26" s="3"/>
      <c r="E26" s="3"/>
      <c r="F26" s="3"/>
    </row>
    <row r="27" spans="1:6" ht="76.5">
      <c r="A27" s="73"/>
      <c r="B27" s="218" t="s">
        <v>256</v>
      </c>
      <c r="C27" s="59"/>
      <c r="D27" s="3"/>
      <c r="E27" s="3"/>
      <c r="F27" s="3"/>
    </row>
    <row r="28" spans="1:6" ht="12.75">
      <c r="A28" s="73"/>
      <c r="B28" s="218" t="s">
        <v>34</v>
      </c>
      <c r="C28" s="59"/>
      <c r="D28" s="3"/>
      <c r="E28" s="3"/>
      <c r="F28" s="3"/>
    </row>
    <row r="29" spans="1:6" ht="25.5">
      <c r="A29" s="73"/>
      <c r="B29" s="156" t="s">
        <v>1092</v>
      </c>
      <c r="C29" s="27" t="s">
        <v>11</v>
      </c>
      <c r="D29" s="3">
        <v>180.79</v>
      </c>
      <c r="E29" s="40"/>
      <c r="F29" s="28"/>
    </row>
    <row r="30" spans="1:6" ht="38.25">
      <c r="A30" s="73"/>
      <c r="B30" s="156" t="s">
        <v>1093</v>
      </c>
      <c r="C30" s="27" t="s">
        <v>11</v>
      </c>
      <c r="D30" s="72">
        <v>732.25</v>
      </c>
      <c r="E30" s="40"/>
      <c r="F30" s="28"/>
    </row>
    <row r="31" spans="1:6" ht="63.75">
      <c r="A31" s="73"/>
      <c r="B31" s="156" t="s">
        <v>1094</v>
      </c>
      <c r="C31" s="27" t="s">
        <v>11</v>
      </c>
      <c r="D31" s="72">
        <v>827.3</v>
      </c>
      <c r="E31" s="40"/>
      <c r="F31" s="28"/>
    </row>
    <row r="32" spans="1:6" ht="12.75">
      <c r="A32" s="73"/>
      <c r="B32" s="156"/>
      <c r="C32" s="59"/>
      <c r="D32" s="3"/>
      <c r="E32" s="3"/>
      <c r="F32" s="3"/>
    </row>
    <row r="33" spans="1:6" ht="25.5">
      <c r="A33" s="73">
        <f>A22+1</f>
        <v>403</v>
      </c>
      <c r="B33" s="39" t="s">
        <v>234</v>
      </c>
      <c r="C33" s="59"/>
      <c r="D33" s="3"/>
      <c r="E33" s="3"/>
      <c r="F33" s="3"/>
    </row>
    <row r="34" spans="1:6" ht="12.75">
      <c r="A34" s="73"/>
      <c r="B34" s="39" t="s">
        <v>236</v>
      </c>
      <c r="C34" s="59"/>
      <c r="D34" s="3"/>
      <c r="E34" s="3"/>
      <c r="F34" s="3"/>
    </row>
    <row r="35" spans="1:6" ht="12.75">
      <c r="A35" s="73"/>
      <c r="B35" s="75" t="s">
        <v>235</v>
      </c>
      <c r="C35" s="59"/>
      <c r="D35" s="3"/>
      <c r="E35" s="3"/>
      <c r="F35" s="3"/>
    </row>
    <row r="36" spans="1:6" ht="12.75">
      <c r="A36" s="73"/>
      <c r="B36" s="39" t="s">
        <v>1091</v>
      </c>
      <c r="C36" s="27" t="s">
        <v>11</v>
      </c>
      <c r="D36" s="69">
        <v>569.24</v>
      </c>
      <c r="E36" s="40"/>
      <c r="F36" s="28"/>
    </row>
    <row r="37" spans="1:6" ht="12.75">
      <c r="A37" s="73"/>
      <c r="B37" s="22" t="s">
        <v>1090</v>
      </c>
      <c r="C37" s="27" t="s">
        <v>11</v>
      </c>
      <c r="D37" s="69">
        <f>(304.6+35.8)*1.01</f>
        <v>343.80400000000003</v>
      </c>
      <c r="E37" s="40"/>
      <c r="F37" s="28"/>
    </row>
    <row r="38" spans="1:6" ht="12.75">
      <c r="A38" s="73"/>
      <c r="B38" s="22" t="s">
        <v>1089</v>
      </c>
      <c r="C38" s="27" t="s">
        <v>11</v>
      </c>
      <c r="D38" s="69">
        <f>(304.6+35.8)*1.01</f>
        <v>343.80400000000003</v>
      </c>
      <c r="E38" s="40"/>
      <c r="F38" s="28"/>
    </row>
    <row r="39" spans="1:6" ht="12.75">
      <c r="A39" s="73"/>
      <c r="B39" s="22"/>
      <c r="C39" s="59"/>
      <c r="D39" s="3"/>
      <c r="E39" s="3"/>
      <c r="F39" s="3"/>
    </row>
    <row r="40" spans="1:6" ht="25.5">
      <c r="A40" s="73">
        <f>A33+1</f>
        <v>404</v>
      </c>
      <c r="B40" s="22" t="s">
        <v>381</v>
      </c>
      <c r="C40" s="59"/>
      <c r="D40" s="3"/>
      <c r="E40" s="3"/>
      <c r="F40" s="3"/>
    </row>
    <row r="41" spans="1:4" ht="12.75">
      <c r="A41" s="73"/>
      <c r="B41" s="22" t="s">
        <v>243</v>
      </c>
      <c r="C41" s="59"/>
      <c r="D41" s="69"/>
    </row>
    <row r="42" spans="1:4" s="200" customFormat="1" ht="11.25">
      <c r="A42" s="334"/>
      <c r="C42" s="335"/>
      <c r="D42" s="204"/>
    </row>
    <row r="43" spans="1:4" ht="12.75">
      <c r="A43" s="73"/>
      <c r="B43" s="22" t="s">
        <v>244</v>
      </c>
      <c r="C43" s="59"/>
      <c r="D43" s="69"/>
    </row>
    <row r="44" spans="1:6" ht="25.5">
      <c r="A44" s="73"/>
      <c r="B44" s="151" t="s">
        <v>1088</v>
      </c>
      <c r="C44" s="27" t="s">
        <v>11</v>
      </c>
      <c r="D44" s="72">
        <v>83.6</v>
      </c>
      <c r="E44" s="40"/>
      <c r="F44" s="28"/>
    </row>
    <row r="45" spans="1:6" s="200" customFormat="1" ht="11.25">
      <c r="A45" s="334"/>
      <c r="C45" s="195"/>
      <c r="D45" s="205"/>
      <c r="E45" s="197"/>
      <c r="F45" s="198"/>
    </row>
    <row r="46" spans="1:6" ht="12.75">
      <c r="A46" s="73"/>
      <c r="B46" s="22" t="s">
        <v>1087</v>
      </c>
      <c r="C46" s="27" t="s">
        <v>11</v>
      </c>
      <c r="D46" s="3">
        <v>569.24</v>
      </c>
      <c r="E46" s="40"/>
      <c r="F46" s="28"/>
    </row>
    <row r="47" spans="1:6" ht="12.75">
      <c r="A47" s="73"/>
      <c r="B47" s="22"/>
      <c r="C47" s="27"/>
      <c r="D47" s="3"/>
      <c r="E47" s="40"/>
      <c r="F47" s="28"/>
    </row>
    <row r="48" spans="1:6" ht="38.25">
      <c r="A48" s="73">
        <f>A40+1</f>
        <v>405</v>
      </c>
      <c r="B48" s="22" t="s">
        <v>257</v>
      </c>
      <c r="C48" s="27"/>
      <c r="D48" s="3"/>
      <c r="E48" s="40"/>
      <c r="F48" s="28"/>
    </row>
    <row r="49" spans="1:6" ht="12.75">
      <c r="A49" s="73"/>
      <c r="B49" s="22" t="s">
        <v>243</v>
      </c>
      <c r="C49" s="27"/>
      <c r="D49" s="3"/>
      <c r="E49" s="40"/>
      <c r="F49" s="28"/>
    </row>
    <row r="50" spans="1:6" ht="12.75">
      <c r="A50" s="73"/>
      <c r="B50" s="22" t="s">
        <v>258</v>
      </c>
      <c r="C50" s="27"/>
      <c r="D50" s="3"/>
      <c r="E50" s="40"/>
      <c r="F50" s="28"/>
    </row>
    <row r="51" spans="1:6" ht="12.75">
      <c r="A51" s="73"/>
      <c r="B51" s="156" t="s">
        <v>1084</v>
      </c>
      <c r="C51" s="27" t="s">
        <v>11</v>
      </c>
      <c r="D51" s="72">
        <v>99.8</v>
      </c>
      <c r="E51" s="40"/>
      <c r="F51" s="28"/>
    </row>
    <row r="52" spans="1:6" ht="12.75">
      <c r="A52" s="73"/>
      <c r="B52" s="156" t="s">
        <v>1085</v>
      </c>
      <c r="C52" s="27" t="s">
        <v>11</v>
      </c>
      <c r="D52" s="72">
        <v>557.15</v>
      </c>
      <c r="E52" s="40"/>
      <c r="F52" s="28"/>
    </row>
    <row r="53" spans="1:6" ht="51">
      <c r="A53" s="73"/>
      <c r="B53" s="156" t="s">
        <v>1086</v>
      </c>
      <c r="C53" s="27" t="s">
        <v>11</v>
      </c>
      <c r="D53" s="72">
        <v>673.5</v>
      </c>
      <c r="E53" s="40"/>
      <c r="F53" s="28"/>
    </row>
    <row r="54" spans="1:6" ht="12.75">
      <c r="A54" s="73"/>
      <c r="B54" s="156"/>
      <c r="C54" s="27"/>
      <c r="D54" s="72"/>
      <c r="E54" s="40"/>
      <c r="F54" s="28"/>
    </row>
    <row r="55" spans="1:6" ht="12.75">
      <c r="A55" s="73">
        <f>A48+1</f>
        <v>406</v>
      </c>
      <c r="B55" s="39" t="s">
        <v>318</v>
      </c>
      <c r="C55" s="27"/>
      <c r="D55" s="72"/>
      <c r="E55" s="40"/>
      <c r="F55" s="28"/>
    </row>
    <row r="56" spans="1:6" ht="63.75">
      <c r="A56" s="73"/>
      <c r="B56" s="235" t="s">
        <v>325</v>
      </c>
      <c r="C56" s="27"/>
      <c r="D56" s="72"/>
      <c r="E56" s="40"/>
      <c r="F56" s="28"/>
    </row>
    <row r="57" spans="1:6" ht="38.25">
      <c r="A57" s="73"/>
      <c r="B57" s="235" t="s">
        <v>321</v>
      </c>
      <c r="C57" s="27"/>
      <c r="D57" s="72"/>
      <c r="E57" s="40"/>
      <c r="F57" s="28"/>
    </row>
    <row r="58" spans="1:6" ht="38.25">
      <c r="A58" s="73"/>
      <c r="B58" s="235" t="s">
        <v>326</v>
      </c>
      <c r="C58" s="27"/>
      <c r="D58" s="72"/>
      <c r="E58" s="40"/>
      <c r="F58" s="28"/>
    </row>
    <row r="59" spans="1:6" ht="102">
      <c r="A59" s="73"/>
      <c r="B59" s="235" t="s">
        <v>327</v>
      </c>
      <c r="C59" s="27"/>
      <c r="D59" s="72"/>
      <c r="E59" s="40"/>
      <c r="F59" s="28"/>
    </row>
    <row r="60" spans="1:6" ht="102">
      <c r="A60" s="73"/>
      <c r="B60" s="237" t="s">
        <v>324</v>
      </c>
      <c r="C60" s="27"/>
      <c r="D60" s="72"/>
      <c r="E60" s="40"/>
      <c r="F60" s="28"/>
    </row>
    <row r="61" spans="1:6" ht="114.75">
      <c r="A61" s="73"/>
      <c r="B61" s="237" t="s">
        <v>323</v>
      </c>
      <c r="C61" s="27"/>
      <c r="D61" s="72"/>
      <c r="E61" s="40"/>
      <c r="F61" s="28"/>
    </row>
    <row r="62" spans="1:6" ht="25.5">
      <c r="A62" s="73"/>
      <c r="B62" s="236" t="s">
        <v>322</v>
      </c>
      <c r="C62" s="27"/>
      <c r="D62" s="72"/>
      <c r="E62" s="40"/>
      <c r="F62" s="28"/>
    </row>
    <row r="63" spans="1:6" ht="63.75">
      <c r="A63" s="73"/>
      <c r="B63" s="146" t="s">
        <v>319</v>
      </c>
      <c r="C63" s="27"/>
      <c r="D63" s="72"/>
      <c r="E63" s="40"/>
      <c r="F63" s="28"/>
    </row>
    <row r="64" spans="1:6" ht="25.5">
      <c r="A64" s="73"/>
      <c r="B64" s="146" t="s">
        <v>328</v>
      </c>
      <c r="C64" s="27"/>
      <c r="D64" s="72"/>
      <c r="E64" s="40"/>
      <c r="F64" s="28"/>
    </row>
    <row r="65" spans="1:6" ht="25.5">
      <c r="A65" s="73"/>
      <c r="B65" s="235" t="s">
        <v>320</v>
      </c>
      <c r="C65" s="27"/>
      <c r="D65" s="72"/>
      <c r="E65" s="40"/>
      <c r="F65" s="28"/>
    </row>
    <row r="66" spans="1:6" ht="12.75">
      <c r="A66" s="73"/>
      <c r="B66" s="20" t="s">
        <v>1083</v>
      </c>
      <c r="C66" s="27" t="s">
        <v>11</v>
      </c>
      <c r="D66" s="72">
        <f>(9.7+4.5)*2-(0.7+0.3)</f>
        <v>27.4</v>
      </c>
      <c r="E66" s="40"/>
      <c r="F66" s="28"/>
    </row>
    <row r="67" spans="1:6" ht="12.75">
      <c r="A67" s="73"/>
      <c r="B67" s="22"/>
      <c r="C67" s="27"/>
      <c r="D67" s="3"/>
      <c r="E67" s="40"/>
      <c r="F67" s="28"/>
    </row>
    <row r="68" spans="1:6" ht="12.75">
      <c r="A68" s="73"/>
      <c r="B68" s="22"/>
      <c r="C68" s="59"/>
      <c r="D68" s="3"/>
      <c r="E68" s="3"/>
      <c r="F68" s="3"/>
    </row>
    <row r="69" spans="1:6" ht="51">
      <c r="A69" s="73">
        <f>A55+1</f>
        <v>407</v>
      </c>
      <c r="B69" s="22" t="s">
        <v>292</v>
      </c>
      <c r="C69" s="59"/>
      <c r="D69" s="3"/>
      <c r="E69" s="3"/>
      <c r="F69" s="3"/>
    </row>
    <row r="70" spans="1:6" ht="12.75">
      <c r="A70" s="73"/>
      <c r="B70" s="156" t="s">
        <v>1080</v>
      </c>
      <c r="C70" s="27" t="s">
        <v>11</v>
      </c>
      <c r="D70" s="72">
        <v>18.9</v>
      </c>
      <c r="E70" s="40"/>
      <c r="F70" s="28"/>
    </row>
    <row r="71" spans="1:6" ht="12.75">
      <c r="A71" s="73"/>
      <c r="B71" s="156" t="s">
        <v>1081</v>
      </c>
      <c r="C71" s="27" t="s">
        <v>11</v>
      </c>
      <c r="D71" s="72">
        <v>29.1</v>
      </c>
      <c r="E71" s="40"/>
      <c r="F71" s="28"/>
    </row>
    <row r="72" spans="1:6" ht="12.75">
      <c r="A72" s="73"/>
      <c r="B72" s="156" t="s">
        <v>1082</v>
      </c>
      <c r="C72" s="27" t="s">
        <v>11</v>
      </c>
      <c r="D72" s="72">
        <v>9.7</v>
      </c>
      <c r="E72" s="40"/>
      <c r="F72" s="28"/>
    </row>
    <row r="73" spans="1:6" ht="12.75">
      <c r="A73" s="73"/>
      <c r="B73" s="22"/>
      <c r="C73" s="59"/>
      <c r="D73" s="3"/>
      <c r="E73" s="3"/>
      <c r="F73" s="3"/>
    </row>
    <row r="74" spans="1:6" ht="51">
      <c r="A74" s="73">
        <f>A69+1</f>
        <v>408</v>
      </c>
      <c r="B74" s="22" t="s">
        <v>442</v>
      </c>
      <c r="C74" s="59"/>
      <c r="D74" s="3"/>
      <c r="E74" s="3"/>
      <c r="F74" s="3"/>
    </row>
    <row r="75" spans="1:6" ht="12.75">
      <c r="A75" s="73"/>
      <c r="B75" s="2" t="s">
        <v>243</v>
      </c>
      <c r="C75" s="27" t="s">
        <v>11</v>
      </c>
      <c r="D75" s="72">
        <f>0.2*(5.35)+0.2*(5.5+5.55+2*3)+0.2*(5.6+2+5.45*2+5.5+4.13+5.55+1*10+2.9+5.6)+0.5*(2*12+5.6+5.45*2+5.55*2+5.2)</f>
        <v>43.316</v>
      </c>
      <c r="E75" s="40"/>
      <c r="F75" s="28"/>
    </row>
    <row r="76" spans="1:6" ht="38.25">
      <c r="A76" s="73"/>
      <c r="B76" s="311" t="s">
        <v>1079</v>
      </c>
      <c r="C76" s="59"/>
      <c r="D76" s="3"/>
      <c r="E76" s="3"/>
      <c r="F76" s="3"/>
    </row>
    <row r="77" spans="1:6" ht="12.75">
      <c r="A77" s="73"/>
      <c r="B77" s="311"/>
      <c r="C77" s="59"/>
      <c r="D77" s="3"/>
      <c r="E77" s="3"/>
      <c r="F77" s="3"/>
    </row>
    <row r="78" spans="1:6" ht="51">
      <c r="A78" s="73">
        <f>A74+1</f>
        <v>409</v>
      </c>
      <c r="B78" s="22" t="s">
        <v>260</v>
      </c>
      <c r="C78" s="59"/>
      <c r="D78" s="3"/>
      <c r="E78" s="3"/>
      <c r="F78" s="3"/>
    </row>
    <row r="79" spans="1:6" ht="12.75">
      <c r="A79" s="73"/>
      <c r="B79" s="156" t="s">
        <v>1078</v>
      </c>
      <c r="C79" s="27" t="s">
        <v>11</v>
      </c>
      <c r="D79" s="72">
        <v>0.5</v>
      </c>
      <c r="E79" s="40"/>
      <c r="F79" s="28"/>
    </row>
    <row r="80" spans="1:6" ht="12.75">
      <c r="A80" s="73"/>
      <c r="B80" s="22"/>
      <c r="C80" s="59"/>
      <c r="D80" s="3"/>
      <c r="E80" s="3"/>
      <c r="F80" s="3"/>
    </row>
    <row r="81" spans="1:2" ht="38.25">
      <c r="A81" s="222">
        <f>A78+1</f>
        <v>410</v>
      </c>
      <c r="B81" s="145" t="s">
        <v>259</v>
      </c>
    </row>
    <row r="82" ht="51">
      <c r="B82" s="145" t="s">
        <v>96</v>
      </c>
    </row>
    <row r="83" ht="38.25">
      <c r="B83" s="44" t="s">
        <v>100</v>
      </c>
    </row>
    <row r="84" ht="102">
      <c r="B84" s="145" t="s">
        <v>97</v>
      </c>
    </row>
    <row r="85" ht="51">
      <c r="B85" s="146" t="s">
        <v>393</v>
      </c>
    </row>
    <row r="86" ht="38.25">
      <c r="B86" s="146" t="s">
        <v>98</v>
      </c>
    </row>
    <row r="87" ht="12.75">
      <c r="B87" s="75" t="s">
        <v>99</v>
      </c>
    </row>
    <row r="88" spans="1:6" ht="12.75">
      <c r="A88" s="73"/>
      <c r="B88" s="74"/>
      <c r="C88" s="59"/>
      <c r="D88" s="3"/>
      <c r="E88" s="3"/>
      <c r="F88" s="3"/>
    </row>
    <row r="89" spans="1:2" ht="12.75">
      <c r="A89" s="54"/>
      <c r="B89" s="67" t="s">
        <v>286</v>
      </c>
    </row>
    <row r="90" spans="1:2" ht="12.75">
      <c r="A90" s="54"/>
      <c r="B90" s="92" t="s">
        <v>169</v>
      </c>
    </row>
    <row r="91" spans="1:4" ht="25.5">
      <c r="A91" s="54"/>
      <c r="B91" s="93" t="s">
        <v>1076</v>
      </c>
      <c r="C91" s="27" t="s">
        <v>11</v>
      </c>
      <c r="D91" s="41">
        <f>(10.51+2.77+10.37+2.79+10.91+10.92+11.25)*1.01</f>
        <v>60.115199999999994</v>
      </c>
    </row>
    <row r="92" spans="1:2" ht="12.75">
      <c r="A92" s="54"/>
      <c r="B92" s="92" t="s">
        <v>170</v>
      </c>
    </row>
    <row r="93" spans="1:4" ht="12.75">
      <c r="A93" s="54"/>
      <c r="B93" s="93" t="s">
        <v>1075</v>
      </c>
      <c r="C93" s="27" t="s">
        <v>11</v>
      </c>
      <c r="D93" s="41">
        <f>(10.39+10.53+19.47+3.55)*1.01</f>
        <v>44.3794</v>
      </c>
    </row>
    <row r="94" spans="1:2" ht="12.75">
      <c r="A94" s="54"/>
      <c r="B94" s="92" t="s">
        <v>171</v>
      </c>
    </row>
    <row r="95" spans="1:6" ht="12.75">
      <c r="A95" s="54"/>
      <c r="B95" s="2" t="s">
        <v>1077</v>
      </c>
      <c r="C95" s="76" t="s">
        <v>11</v>
      </c>
      <c r="D95" s="85">
        <f>481.76*1.01</f>
        <v>486.5776</v>
      </c>
      <c r="E95" s="4"/>
      <c r="F95" s="4"/>
    </row>
    <row r="96" spans="1:6" ht="12.75">
      <c r="A96" s="54"/>
      <c r="C96" s="27"/>
      <c r="D96" s="69">
        <f>SUM(D89:D95)</f>
        <v>591.0722000000001</v>
      </c>
      <c r="E96" s="40"/>
      <c r="F96" s="28"/>
    </row>
    <row r="97" spans="1:6" ht="12.75">
      <c r="A97" s="54"/>
      <c r="B97" s="20" t="s">
        <v>156</v>
      </c>
      <c r="C97" s="27"/>
      <c r="D97" s="69"/>
      <c r="E97" s="40"/>
      <c r="F97" s="28"/>
    </row>
    <row r="98" spans="1:6" ht="12.75">
      <c r="A98" s="54"/>
      <c r="B98" s="92" t="s">
        <v>187</v>
      </c>
      <c r="C98" s="27"/>
      <c r="D98" s="69"/>
      <c r="E98" s="40"/>
      <c r="F98" s="28"/>
    </row>
    <row r="99" spans="1:6" ht="12.75">
      <c r="A99" s="54"/>
      <c r="B99" s="2" t="s">
        <v>907</v>
      </c>
      <c r="C99" s="27" t="s">
        <v>11</v>
      </c>
      <c r="D99" s="69">
        <f>(9.45+12.72+16.11+9.05+6.7*2)*1.01</f>
        <v>61.3373</v>
      </c>
      <c r="E99" s="40"/>
      <c r="F99" s="28"/>
    </row>
    <row r="100" spans="1:6" ht="38.25">
      <c r="A100" s="54"/>
      <c r="B100" s="313" t="s">
        <v>908</v>
      </c>
      <c r="C100" s="27" t="s">
        <v>11</v>
      </c>
      <c r="D100" s="69">
        <f>(17.54+20.56+2.93+8.1+9.2+9.09+9.3+3.36+4.42)*1.01</f>
        <v>85.345</v>
      </c>
      <c r="E100" s="40"/>
      <c r="F100" s="28"/>
    </row>
    <row r="101" spans="1:6" ht="38.25">
      <c r="A101" s="73"/>
      <c r="B101" s="93" t="s">
        <v>1073</v>
      </c>
      <c r="C101" s="27" t="s">
        <v>11</v>
      </c>
      <c r="D101" s="72">
        <f>(208.77+12.26+12.12+14.43+13.92+4.77+8.77+8.5+3.41+5.94+10.36)*1.01</f>
        <v>306.2825</v>
      </c>
      <c r="E101" s="3"/>
      <c r="F101" s="3"/>
    </row>
    <row r="102" spans="1:6" ht="38.25">
      <c r="A102" s="73"/>
      <c r="B102" s="93" t="s">
        <v>1074</v>
      </c>
      <c r="C102" s="76" t="s">
        <v>11</v>
      </c>
      <c r="D102" s="71">
        <f>(7.07+12.19+10.45+9.62+3.25+8.52+8.51+3.38+7.58+16.47)*1.01</f>
        <v>87.9104</v>
      </c>
      <c r="E102" s="4"/>
      <c r="F102" s="4"/>
    </row>
    <row r="103" spans="1:6" ht="12.75">
      <c r="A103" s="73"/>
      <c r="B103" s="74"/>
      <c r="C103" s="27" t="s">
        <v>11</v>
      </c>
      <c r="D103" s="69">
        <f>SUM(D99:D102)</f>
        <v>540.8752000000001</v>
      </c>
      <c r="E103" s="40"/>
      <c r="F103" s="28"/>
    </row>
    <row r="104" spans="1:6" ht="12.75">
      <c r="A104" s="73"/>
      <c r="B104" s="74"/>
      <c r="C104" s="27"/>
      <c r="D104" s="69"/>
      <c r="E104" s="40"/>
      <c r="F104" s="28"/>
    </row>
    <row r="105" spans="1:6" ht="12.75">
      <c r="A105" s="73"/>
      <c r="B105" s="156" t="s">
        <v>302</v>
      </c>
      <c r="C105" s="27"/>
      <c r="D105" s="69"/>
      <c r="E105" s="40"/>
      <c r="F105" s="28"/>
    </row>
    <row r="106" spans="1:6" ht="12.75">
      <c r="A106" s="54"/>
      <c r="B106" s="2" t="s">
        <v>909</v>
      </c>
      <c r="C106" s="27" t="s">
        <v>11</v>
      </c>
      <c r="D106" s="69">
        <v>23.95</v>
      </c>
      <c r="E106" s="40"/>
      <c r="F106" s="28"/>
    </row>
    <row r="107" spans="1:6" ht="12.75">
      <c r="A107" s="54"/>
      <c r="B107" s="2" t="s">
        <v>1070</v>
      </c>
      <c r="C107" s="27" t="s">
        <v>11</v>
      </c>
      <c r="D107" s="69">
        <v>34.72</v>
      </c>
      <c r="E107" s="40"/>
      <c r="F107" s="28"/>
    </row>
    <row r="108" spans="1:6" ht="12.75">
      <c r="A108" s="73"/>
      <c r="B108" s="2" t="s">
        <v>1071</v>
      </c>
      <c r="C108" s="27" t="s">
        <v>11</v>
      </c>
      <c r="D108" s="72">
        <v>34.44</v>
      </c>
      <c r="E108" s="3"/>
      <c r="F108" s="3"/>
    </row>
    <row r="109" spans="1:6" ht="12.75">
      <c r="A109" s="73"/>
      <c r="B109" s="2" t="s">
        <v>1072</v>
      </c>
      <c r="C109" s="76" t="s">
        <v>11</v>
      </c>
      <c r="D109" s="71">
        <v>35.12</v>
      </c>
      <c r="E109" s="4"/>
      <c r="F109" s="4"/>
    </row>
    <row r="110" spans="1:6" ht="12.75">
      <c r="A110" s="73"/>
      <c r="B110" s="74"/>
      <c r="C110" s="27" t="s">
        <v>11</v>
      </c>
      <c r="D110" s="69">
        <f>SUM(D106:D109)</f>
        <v>128.23</v>
      </c>
      <c r="E110" s="40"/>
      <c r="F110" s="28"/>
    </row>
    <row r="111" spans="1:6" ht="12.75">
      <c r="A111" s="73"/>
      <c r="B111" s="156"/>
      <c r="C111" s="27"/>
      <c r="D111" s="69"/>
      <c r="E111" s="40"/>
      <c r="F111" s="28"/>
    </row>
    <row r="112" spans="1:6" ht="38.25">
      <c r="A112" s="222">
        <f>A81+1</f>
        <v>411</v>
      </c>
      <c r="B112" s="145" t="s">
        <v>173</v>
      </c>
      <c r="C112" s="27"/>
      <c r="D112" s="69"/>
      <c r="E112" s="40"/>
      <c r="F112" s="28"/>
    </row>
    <row r="113" spans="1:6" ht="51">
      <c r="A113" s="73"/>
      <c r="B113" s="145" t="s">
        <v>96</v>
      </c>
      <c r="C113" s="27"/>
      <c r="D113" s="69"/>
      <c r="E113" s="40"/>
      <c r="F113" s="28"/>
    </row>
    <row r="114" spans="1:6" ht="12.75">
      <c r="A114" s="73"/>
      <c r="B114" s="145" t="s">
        <v>172</v>
      </c>
      <c r="C114" s="27"/>
      <c r="D114" s="69"/>
      <c r="E114" s="40"/>
      <c r="F114" s="28"/>
    </row>
    <row r="115" spans="1:6" ht="12.75">
      <c r="A115" s="73"/>
      <c r="B115" s="75" t="s">
        <v>34</v>
      </c>
      <c r="C115" s="27"/>
      <c r="D115" s="3"/>
      <c r="E115" s="3"/>
      <c r="F115" s="3"/>
    </row>
    <row r="116" spans="1:6" ht="12.75">
      <c r="A116" s="73"/>
      <c r="B116" s="20" t="s">
        <v>174</v>
      </c>
      <c r="C116" s="27"/>
      <c r="D116" s="3"/>
      <c r="E116" s="3"/>
      <c r="F116" s="3"/>
    </row>
    <row r="117" spans="1:6" ht="12.75">
      <c r="A117" s="73"/>
      <c r="B117" s="2" t="s">
        <v>1069</v>
      </c>
      <c r="C117" s="27" t="s">
        <v>11</v>
      </c>
      <c r="D117" s="69">
        <f>1.8*3.7*1.01</f>
        <v>6.7266</v>
      </c>
      <c r="E117" s="40"/>
      <c r="F117" s="28"/>
    </row>
    <row r="118" spans="1:6" ht="12.75">
      <c r="A118" s="73"/>
      <c r="B118" s="20"/>
      <c r="C118" s="27"/>
      <c r="D118" s="3"/>
      <c r="E118" s="3"/>
      <c r="F118" s="3"/>
    </row>
    <row r="119" spans="1:6" ht="51">
      <c r="A119" s="73">
        <f>A112+1</f>
        <v>412</v>
      </c>
      <c r="B119" s="75" t="s">
        <v>285</v>
      </c>
      <c r="C119" s="27"/>
      <c r="D119" s="3"/>
      <c r="E119" s="3"/>
      <c r="F119" s="3"/>
    </row>
    <row r="120" spans="1:6" ht="12.75">
      <c r="A120" s="73"/>
      <c r="B120" s="75" t="s">
        <v>34</v>
      </c>
      <c r="C120" s="27"/>
      <c r="D120" s="3"/>
      <c r="E120" s="3"/>
      <c r="F120" s="3"/>
    </row>
    <row r="121" spans="1:6" ht="12.75">
      <c r="A121" s="73"/>
      <c r="B121" s="75" t="s">
        <v>478</v>
      </c>
      <c r="C121" s="27"/>
      <c r="D121" s="3"/>
      <c r="E121" s="3"/>
      <c r="F121" s="3"/>
    </row>
    <row r="122" spans="1:6" ht="12.75">
      <c r="A122" s="73"/>
      <c r="B122" s="67" t="s">
        <v>1066</v>
      </c>
      <c r="C122" s="27" t="s">
        <v>11</v>
      </c>
      <c r="D122" s="69">
        <v>46.16</v>
      </c>
      <c r="E122" s="40"/>
      <c r="F122" s="28"/>
    </row>
    <row r="123" spans="1:6" ht="25.5">
      <c r="A123" s="73"/>
      <c r="B123" s="312" t="s">
        <v>1067</v>
      </c>
      <c r="C123" s="27" t="s">
        <v>11</v>
      </c>
      <c r="D123" s="69">
        <v>103.94</v>
      </c>
      <c r="E123" s="40"/>
      <c r="F123" s="28"/>
    </row>
    <row r="124" spans="1:6" ht="12.75">
      <c r="A124" s="73"/>
      <c r="B124" s="67" t="s">
        <v>1068</v>
      </c>
      <c r="C124" s="27" t="s">
        <v>11</v>
      </c>
      <c r="D124" s="69">
        <v>17.44</v>
      </c>
      <c r="E124" s="40"/>
      <c r="F124" s="28"/>
    </row>
    <row r="125" spans="1:6" ht="12.75">
      <c r="A125" s="73"/>
      <c r="B125" s="75"/>
      <c r="C125" s="27"/>
      <c r="D125" s="3"/>
      <c r="E125" s="3"/>
      <c r="F125" s="3"/>
    </row>
    <row r="126" spans="1:6" ht="63.75">
      <c r="A126" s="73">
        <f>A119+1</f>
        <v>413</v>
      </c>
      <c r="B126" s="75" t="s">
        <v>477</v>
      </c>
      <c r="C126" s="27"/>
      <c r="D126" s="3"/>
      <c r="E126" s="3"/>
      <c r="F126" s="3"/>
    </row>
    <row r="127" spans="1:6" ht="12.75">
      <c r="A127" s="73"/>
      <c r="B127" s="75" t="s">
        <v>34</v>
      </c>
      <c r="C127" s="27"/>
      <c r="D127" s="3"/>
      <c r="E127" s="3"/>
      <c r="F127" s="3"/>
    </row>
    <row r="128" spans="1:6" ht="12.75">
      <c r="A128" s="73"/>
      <c r="B128" s="75" t="s">
        <v>444</v>
      </c>
      <c r="C128" s="27"/>
      <c r="D128" s="3"/>
      <c r="E128" s="3"/>
      <c r="F128" s="3"/>
    </row>
    <row r="129" spans="1:6" ht="51">
      <c r="A129" s="73"/>
      <c r="B129" s="67" t="s">
        <v>1064</v>
      </c>
      <c r="C129" s="27" t="s">
        <v>11</v>
      </c>
      <c r="D129" s="72">
        <v>456.3</v>
      </c>
      <c r="E129" s="40"/>
      <c r="F129" s="28"/>
    </row>
    <row r="130" spans="1:6" ht="51">
      <c r="A130" s="73"/>
      <c r="B130" s="67" t="s">
        <v>1065</v>
      </c>
      <c r="C130" s="27" t="s">
        <v>11</v>
      </c>
      <c r="D130" s="72">
        <v>167.13</v>
      </c>
      <c r="E130" s="40"/>
      <c r="F130" s="28"/>
    </row>
    <row r="131" spans="1:6" ht="12.75">
      <c r="A131" s="73"/>
      <c r="B131" s="67"/>
      <c r="C131" s="27"/>
      <c r="D131" s="72"/>
      <c r="E131" s="40"/>
      <c r="F131" s="28"/>
    </row>
    <row r="132" spans="1:6" ht="76.5">
      <c r="A132" s="73">
        <f>A126+1</f>
        <v>414</v>
      </c>
      <c r="B132" s="75" t="s">
        <v>476</v>
      </c>
      <c r="C132" s="27"/>
      <c r="D132" s="72"/>
      <c r="E132" s="40"/>
      <c r="F132" s="28"/>
    </row>
    <row r="133" spans="1:6" ht="12.75">
      <c r="A133" s="73"/>
      <c r="B133" s="75" t="s">
        <v>34</v>
      </c>
      <c r="C133" s="27"/>
      <c r="D133" s="72"/>
      <c r="E133" s="40"/>
      <c r="F133" s="28"/>
    </row>
    <row r="134" spans="1:6" ht="12.75">
      <c r="A134" s="73"/>
      <c r="B134" s="75" t="s">
        <v>443</v>
      </c>
      <c r="C134" s="27"/>
      <c r="D134" s="72"/>
      <c r="E134" s="40"/>
      <c r="F134" s="28"/>
    </row>
    <row r="135" spans="1:6" ht="12.75">
      <c r="A135" s="73"/>
      <c r="B135" s="67" t="s">
        <v>1063</v>
      </c>
      <c r="C135" s="27" t="s">
        <v>11</v>
      </c>
      <c r="D135" s="72">
        <v>45.5</v>
      </c>
      <c r="E135" s="40"/>
      <c r="F135" s="28"/>
    </row>
    <row r="136" spans="1:6" ht="12.75">
      <c r="A136" s="73"/>
      <c r="B136" s="75"/>
      <c r="C136" s="27"/>
      <c r="D136" s="3"/>
      <c r="E136" s="3"/>
      <c r="F136" s="3"/>
    </row>
    <row r="137" spans="1:6" ht="76.5">
      <c r="A137" s="73">
        <f>A132+1</f>
        <v>415</v>
      </c>
      <c r="B137" s="75" t="s">
        <v>475</v>
      </c>
      <c r="C137" s="27"/>
      <c r="D137" s="3"/>
      <c r="E137" s="3"/>
      <c r="F137" s="3"/>
    </row>
    <row r="138" spans="1:6" ht="12.75">
      <c r="A138" s="73"/>
      <c r="B138" s="75" t="s">
        <v>473</v>
      </c>
      <c r="C138" s="27"/>
      <c r="D138" s="3"/>
      <c r="E138" s="3"/>
      <c r="F138" s="3"/>
    </row>
    <row r="139" spans="1:6" ht="165.75">
      <c r="A139" s="73"/>
      <c r="B139" s="151" t="s">
        <v>1062</v>
      </c>
      <c r="C139" s="27" t="s">
        <v>11</v>
      </c>
      <c r="D139" s="192">
        <f>(126.8+0.2*(10+12*2))*1.02+(106.3+0.2*(9+12*3))*1.02+(134.8+0.2*(10*2+12*6))*1.02+(81.7+22.95+0.2*(12*4+10+8+6+2+4*6.15*2+0.2*0.6*2))*1.02+(3.5*30.6-1*2.5*12+0.2*(1+2.5)*2*12)*1.02+(62.1+1*3.5*16+0.2*1*2.5*4+44.1+0.6*1*14+1*3.5*14+0.2*(1+2.5)*2*14)*1.02+(57.9+1*3*3+1*3.5*15+2.75+0.9+39.6+1*3.5*13+0.2*(1+2.5)*2*(15+18))*1.02+(0.6*4*4)*1.02+(46.5+1*3.5*15+2.7*2+0.2*(1+2.5)*2*15+46.3+1*3.5*15+0.2*(1+2.5)*2*18+0.55*4+3.5*0.2*2*2)*1.02+(1.1*36.7+0.5*30.56+1*30.15)*1.02+(1.1*36.7+0.5*36.7+1*36.7)*1.02+(35+9.5+0.2*(0.5+1+1.1)*2)*1.02+(48.8*1.1+42.2*0.5+48.8*1)*1.02</f>
        <v>1769.9325600000004</v>
      </c>
      <c r="E139" s="3"/>
      <c r="F139" s="3"/>
    </row>
    <row r="140" spans="1:6" ht="293.25">
      <c r="A140" s="73"/>
      <c r="B140" s="151" t="s">
        <v>1061</v>
      </c>
      <c r="C140" s="76" t="s">
        <v>11</v>
      </c>
      <c r="D140" s="71">
        <f>((6.6+0.5+0.7)*4+0.2*(4*6)+3.5*3.5*2)*1.02+(225.5-1*4*6-1*3.5*9+0.2*(1+3.5)*2*15)*1.02+(145+0.2*(4.8+3*2)+0.2*(1.2+3*2)*2+0.2*(1.8+3*2)*2+0.2*(0.9+3.4)*2*2+0.2*(0.4+3.2)*12+0.2*(0.4+1.8)*2*8+(0.85+1*2)*5+3*5+12*4.15)*1.02+(6.6+54.3+1.2+0.2*(4*6))*1.02+(36.8+63.35+4*18.6+0.5*5.5+48.4-5.14*4-2.36*15-3*9+0.2*(9.5*4+7.6*15+8*9))*1.02+(36*3.5+36.2*4.05-5.14*2-2.36*12-3*6-3.4*2-1.34*9-1.9*3+0.2*(9.5*2+7.6*12+8*6+7.4*2+5.25*9+5.8*3)+(0.5+1.15)*1*6+0.2*(1*6*2))*1.02+(36.4*3.5+30.2*4-2.36*15-3*13+0.2*(7.6*15+8*13))+(24*3+9.6*3.5+4*23.65+4*3.15-2.36*11+3*10+0.2*(7.6*11+8*10))*1.02+(34.8+(0.5+0.15*2)+(0.65+0.15)*3.5+2.3*(1+0.15*2)+4*(0.65+0.15)+37*(1+0.15+0.3))*1.02+((0.5+0.15*2)*37+(1+0.15*2)*37+(0.7+0.15)*3.5+(0.4+0.15)*3.5)*1.02+((0.5+0.15*2)*37+(1+0.15*2)*24.35+(1+0.15+0.65)*30.88+(0.55+0.15)*4+(0.5+0.15)*3.5)*1.02+((1+0.15*2)*30.1+(1+0.15*2)*24.15+(0.5+0.15*2+0.15*6)+(0.5+0.15)*4*2+(1+0.15+0.3)*31)*1.02+4.05*0.6*4*4*1.02</f>
        <v>1980.0813799999999</v>
      </c>
      <c r="E140" s="4"/>
      <c r="F140" s="4"/>
    </row>
    <row r="141" spans="1:6" ht="12.75">
      <c r="A141" s="73"/>
      <c r="B141" s="75"/>
      <c r="C141" s="27" t="s">
        <v>11</v>
      </c>
      <c r="D141" s="72">
        <f>SUM(D139:D140)</f>
        <v>3750.0139400000003</v>
      </c>
      <c r="E141" s="40"/>
      <c r="F141" s="28"/>
    </row>
    <row r="142" spans="1:6" ht="12.75">
      <c r="A142" s="73"/>
      <c r="B142" s="75"/>
      <c r="C142" s="27"/>
      <c r="D142" s="3"/>
      <c r="E142" s="3"/>
      <c r="F142" s="3"/>
    </row>
    <row r="143" spans="1:6" ht="89.25">
      <c r="A143" s="73">
        <f>A137+1</f>
        <v>416</v>
      </c>
      <c r="B143" s="75" t="s">
        <v>497</v>
      </c>
      <c r="C143" s="27"/>
      <c r="D143" s="3"/>
      <c r="E143" s="3"/>
      <c r="F143" s="3"/>
    </row>
    <row r="144" spans="1:6" ht="12.75">
      <c r="A144" s="73"/>
      <c r="B144" s="75"/>
      <c r="C144" s="27"/>
      <c r="D144" s="3"/>
      <c r="E144" s="3"/>
      <c r="F144" s="3"/>
    </row>
    <row r="145" spans="1:6" ht="25.5">
      <c r="A145" s="73"/>
      <c r="B145" s="151" t="s">
        <v>1374</v>
      </c>
      <c r="C145" s="326"/>
      <c r="D145" s="327"/>
      <c r="E145" s="327"/>
      <c r="F145" s="327"/>
    </row>
    <row r="146" spans="1:6" ht="12.75">
      <c r="A146" s="73"/>
      <c r="B146" s="331" t="s">
        <v>1378</v>
      </c>
      <c r="C146" s="27" t="s">
        <v>11</v>
      </c>
      <c r="D146" s="328">
        <f>(1.9*5.5*2+1.9*8.5*2)*1.02</f>
        <v>54.263999999999996</v>
      </c>
      <c r="E146" s="40"/>
      <c r="F146" s="28"/>
    </row>
    <row r="147" spans="1:6" ht="12.75">
      <c r="A147" s="73"/>
      <c r="B147" s="75"/>
      <c r="C147" s="27"/>
      <c r="D147" s="327"/>
      <c r="E147" s="327"/>
      <c r="F147" s="327"/>
    </row>
    <row r="148" spans="1:6" ht="25.5">
      <c r="A148" s="73"/>
      <c r="B148" s="151" t="s">
        <v>1375</v>
      </c>
      <c r="C148" s="326"/>
      <c r="D148" s="327"/>
      <c r="E148" s="327"/>
      <c r="F148" s="327"/>
    </row>
    <row r="149" spans="1:6" ht="63.75">
      <c r="A149" s="206"/>
      <c r="B149" s="329" t="s">
        <v>1377</v>
      </c>
      <c r="C149" s="27" t="s">
        <v>11</v>
      </c>
      <c r="D149" s="330">
        <f>(6.75*0.5+6.75*0.75+6.75*0.15)*2*1.02+(7.1*(0.5+0.1))*2*1.02+(0.5+0.15)*0.75*2*1.02+(6.75*0.5+6.75*0.75+6.75*0.15)*2*1.02+7.1*(0.5+0.1)*2*1.02+1*(0.5+0.15)*2*1.02+(7.1*12.5+1.1*7.1+0.7*7.1)*1.02+58.2*1.02</f>
        <v>221.1819</v>
      </c>
      <c r="E149" s="40"/>
      <c r="F149" s="28"/>
    </row>
    <row r="150" spans="1:6" ht="12.75">
      <c r="A150" s="73"/>
      <c r="B150" s="75"/>
      <c r="C150" s="326"/>
      <c r="D150" s="327"/>
      <c r="E150" s="327"/>
      <c r="F150" s="327"/>
    </row>
    <row r="151" spans="1:6" ht="25.5">
      <c r="A151" s="73"/>
      <c r="B151" s="151" t="s">
        <v>1376</v>
      </c>
      <c r="C151" s="326"/>
      <c r="D151" s="327"/>
      <c r="E151" s="327"/>
      <c r="F151" s="327"/>
    </row>
    <row r="152" spans="1:6" ht="38.25">
      <c r="A152" s="73"/>
      <c r="B152" s="311" t="s">
        <v>1379</v>
      </c>
      <c r="C152" s="27" t="s">
        <v>11</v>
      </c>
      <c r="D152" s="328">
        <f>(1-0.18)*26.2*1.02+(1-0.18)*8.6*1.02+0.4*8.6*1.02+3*1.6*1.02+(8.7+8.3)*8.75*1.02</f>
        <v>189.23651999999998</v>
      </c>
      <c r="E152" s="40"/>
      <c r="F152" s="28"/>
    </row>
    <row r="153" spans="1:6" ht="12.75">
      <c r="A153" s="73"/>
      <c r="B153" s="151"/>
      <c r="C153" s="326"/>
      <c r="D153" s="327"/>
      <c r="E153" s="327"/>
      <c r="F153" s="327"/>
    </row>
    <row r="154" spans="1:6" ht="12.75">
      <c r="A154" s="73"/>
      <c r="B154" s="75"/>
      <c r="C154" s="326"/>
      <c r="D154" s="327"/>
      <c r="E154" s="327"/>
      <c r="F154" s="327"/>
    </row>
    <row r="155" spans="1:6" ht="12.75">
      <c r="A155" s="73"/>
      <c r="B155" s="75" t="s">
        <v>499</v>
      </c>
      <c r="C155" s="323"/>
      <c r="D155" s="325"/>
      <c r="E155" s="325"/>
      <c r="F155" s="325"/>
    </row>
    <row r="156" spans="1:6" ht="12.75">
      <c r="A156" s="73"/>
      <c r="B156" s="332" t="s">
        <v>1380</v>
      </c>
      <c r="C156" s="27" t="s">
        <v>11</v>
      </c>
      <c r="D156" s="72">
        <f>1.95*2*26.2*1.02+1.95*2*8.6*1.02</f>
        <v>138.43439999999998</v>
      </c>
      <c r="E156" s="40"/>
      <c r="F156" s="28"/>
    </row>
    <row r="157" spans="1:6" ht="12.75">
      <c r="A157" s="73"/>
      <c r="B157" s="310" t="s">
        <v>1060</v>
      </c>
      <c r="C157" s="27"/>
      <c r="D157" s="72"/>
      <c r="E157" s="40"/>
      <c r="F157" s="28"/>
    </row>
    <row r="158" spans="1:6" ht="12.75">
      <c r="A158" s="73"/>
      <c r="B158" s="75"/>
      <c r="C158" s="27"/>
      <c r="D158" s="3"/>
      <c r="E158" s="3"/>
      <c r="F158" s="3"/>
    </row>
    <row r="159" spans="1:6" ht="12.75">
      <c r="A159" s="73"/>
      <c r="B159" s="75" t="s">
        <v>498</v>
      </c>
      <c r="C159" s="27"/>
      <c r="D159" s="3"/>
      <c r="E159" s="3"/>
      <c r="F159" s="3"/>
    </row>
    <row r="160" spans="1:6" ht="12.75">
      <c r="A160" s="73"/>
      <c r="B160" s="332" t="s">
        <v>1381</v>
      </c>
      <c r="C160" s="27" t="s">
        <v>11</v>
      </c>
      <c r="D160" s="72">
        <f>(2.4*2*13.35*2+2*4*3)*1.2</f>
        <v>182.59199999999998</v>
      </c>
      <c r="E160" s="40"/>
      <c r="F160" s="28"/>
    </row>
    <row r="161" spans="1:6" ht="12.75">
      <c r="A161" s="73"/>
      <c r="B161" s="310" t="s">
        <v>1059</v>
      </c>
      <c r="C161" s="27"/>
      <c r="D161" s="3"/>
      <c r="E161" s="3"/>
      <c r="F161" s="3"/>
    </row>
    <row r="162" spans="1:6" ht="12.75">
      <c r="A162" s="73"/>
      <c r="B162" s="75" t="s">
        <v>496</v>
      </c>
      <c r="C162" s="27"/>
      <c r="D162" s="3"/>
      <c r="E162" s="3"/>
      <c r="F162" s="3"/>
    </row>
    <row r="163" spans="1:6" ht="12.75">
      <c r="A163" s="73"/>
      <c r="B163" s="332" t="s">
        <v>267</v>
      </c>
      <c r="C163" s="27" t="s">
        <v>11</v>
      </c>
      <c r="D163" s="72">
        <v>18.2</v>
      </c>
      <c r="E163" s="40"/>
      <c r="F163" s="28"/>
    </row>
    <row r="164" spans="1:6" ht="12.75">
      <c r="A164" s="73"/>
      <c r="B164" s="75">
        <f>18.2</f>
        <v>18.2</v>
      </c>
      <c r="C164" s="27"/>
      <c r="D164" s="72"/>
      <c r="E164" s="40"/>
      <c r="F164" s="28"/>
    </row>
    <row r="165" spans="1:6" ht="12.75">
      <c r="A165" s="73"/>
      <c r="B165" s="75" t="s">
        <v>500</v>
      </c>
      <c r="C165" s="27"/>
      <c r="D165" s="72"/>
      <c r="E165" s="40"/>
      <c r="F165" s="28"/>
    </row>
    <row r="166" spans="1:6" ht="12.75">
      <c r="A166" s="73"/>
      <c r="B166" s="332" t="s">
        <v>1382</v>
      </c>
      <c r="C166" s="27" t="s">
        <v>11</v>
      </c>
      <c r="D166" s="72">
        <f>0.4*26.2*1.02+0.4*8.6*1.02</f>
        <v>14.1984</v>
      </c>
      <c r="E166" s="40"/>
      <c r="F166" s="28"/>
    </row>
    <row r="167" spans="1:6" ht="12.75">
      <c r="A167" s="73"/>
      <c r="B167" s="310" t="s">
        <v>1058</v>
      </c>
      <c r="C167" s="323"/>
      <c r="D167" s="318"/>
      <c r="E167" s="320"/>
      <c r="F167" s="321"/>
    </row>
    <row r="168" spans="1:6" ht="12.75">
      <c r="A168" s="73"/>
      <c r="B168" s="75"/>
      <c r="C168" s="27"/>
      <c r="D168" s="72"/>
      <c r="E168" s="3"/>
      <c r="F168" s="3"/>
    </row>
    <row r="169" spans="1:2" ht="38.25">
      <c r="A169" s="222">
        <f>A143+1</f>
        <v>417</v>
      </c>
      <c r="B169" s="83" t="s">
        <v>189</v>
      </c>
    </row>
    <row r="170" spans="1:2" ht="12.75">
      <c r="A170" s="225"/>
      <c r="B170" s="75" t="s">
        <v>34</v>
      </c>
    </row>
    <row r="171" spans="1:2" ht="12.75">
      <c r="A171" s="225"/>
      <c r="B171" s="75" t="s">
        <v>89</v>
      </c>
    </row>
    <row r="172" spans="1:2" ht="12.75">
      <c r="A172" s="54" t="s">
        <v>19</v>
      </c>
      <c r="B172" s="67" t="s">
        <v>287</v>
      </c>
    </row>
    <row r="173" spans="1:6" ht="12.75">
      <c r="A173" s="54"/>
      <c r="B173" s="2" t="s">
        <v>1057</v>
      </c>
      <c r="C173" s="27" t="s">
        <v>11</v>
      </c>
      <c r="D173" s="69">
        <f>(5.89*10-1.1*2.15)*1.01</f>
        <v>57.10035</v>
      </c>
      <c r="E173" s="40"/>
      <c r="F173" s="28"/>
    </row>
    <row r="174" spans="1:6" ht="12.75">
      <c r="A174" s="54"/>
      <c r="C174" s="27"/>
      <c r="D174" s="69"/>
      <c r="E174" s="40"/>
      <c r="F174" s="28"/>
    </row>
    <row r="175" spans="1:6" ht="76.5">
      <c r="A175" s="222">
        <f>A169+1</f>
        <v>418</v>
      </c>
      <c r="B175" s="83" t="s">
        <v>398</v>
      </c>
      <c r="C175" s="27"/>
      <c r="D175" s="242"/>
      <c r="E175" s="142"/>
      <c r="F175" s="143"/>
    </row>
    <row r="176" spans="1:6" ht="12.75">
      <c r="A176" s="54"/>
      <c r="B176" s="75" t="s">
        <v>34</v>
      </c>
      <c r="C176" s="27"/>
      <c r="D176" s="141"/>
      <c r="E176" s="142"/>
      <c r="F176" s="143"/>
    </row>
    <row r="177" spans="1:6" ht="12.75">
      <c r="A177" s="54"/>
      <c r="B177" s="75" t="s">
        <v>190</v>
      </c>
      <c r="C177" s="27"/>
      <c r="D177" s="141"/>
      <c r="E177" s="142"/>
      <c r="F177" s="143"/>
    </row>
    <row r="178" spans="1:6" ht="12.75">
      <c r="A178" s="54"/>
      <c r="B178" s="209" t="s">
        <v>191</v>
      </c>
      <c r="C178" s="27"/>
      <c r="D178" s="141"/>
      <c r="E178" s="142"/>
      <c r="F178" s="143"/>
    </row>
    <row r="179" spans="1:6" ht="12.75">
      <c r="A179" s="54"/>
      <c r="B179" s="2" t="s">
        <v>1056</v>
      </c>
      <c r="C179" s="27" t="s">
        <v>11</v>
      </c>
      <c r="D179" s="69">
        <f>(3.82*36-1.8*2.15)*1.01</f>
        <v>134.98649999999998</v>
      </c>
      <c r="E179" s="40"/>
      <c r="F179" s="28"/>
    </row>
    <row r="180" spans="1:6" ht="12.75">
      <c r="A180" s="54"/>
      <c r="C180" s="27"/>
      <c r="D180" s="69"/>
      <c r="E180" s="40"/>
      <c r="F180" s="28"/>
    </row>
    <row r="181" spans="1:6" ht="76.5">
      <c r="A181" s="73">
        <f>A175+1</f>
        <v>419</v>
      </c>
      <c r="B181" s="83" t="s">
        <v>377</v>
      </c>
      <c r="C181" s="27"/>
      <c r="D181" s="242"/>
      <c r="E181" s="40"/>
      <c r="F181" s="28"/>
    </row>
    <row r="182" spans="1:6" ht="12.75">
      <c r="A182" s="54"/>
      <c r="B182" s="75" t="s">
        <v>34</v>
      </c>
      <c r="C182" s="27"/>
      <c r="D182" s="141"/>
      <c r="E182" s="142"/>
      <c r="F182" s="143"/>
    </row>
    <row r="183" spans="1:6" ht="12.75">
      <c r="A183" s="54"/>
      <c r="B183" s="75" t="s">
        <v>380</v>
      </c>
      <c r="C183" s="27"/>
      <c r="D183" s="141"/>
      <c r="E183" s="142"/>
      <c r="F183" s="143"/>
    </row>
    <row r="184" spans="1:6" ht="12.75">
      <c r="A184" s="54"/>
      <c r="B184" s="20" t="s">
        <v>373</v>
      </c>
      <c r="C184" s="27"/>
      <c r="D184" s="69"/>
      <c r="E184" s="40"/>
      <c r="F184" s="28"/>
    </row>
    <row r="185" spans="1:6" ht="12.75">
      <c r="A185" s="54"/>
      <c r="B185" s="2" t="s">
        <v>1055</v>
      </c>
      <c r="C185" s="27" t="s">
        <v>11</v>
      </c>
      <c r="D185" s="69">
        <v>34.8</v>
      </c>
      <c r="E185" s="40"/>
      <c r="F185" s="28"/>
    </row>
    <row r="186" spans="1:6" ht="12.75">
      <c r="A186" s="54"/>
      <c r="C186" s="27"/>
      <c r="D186" s="69"/>
      <c r="E186" s="40"/>
      <c r="F186" s="28"/>
    </row>
    <row r="187" spans="1:6" ht="63.75">
      <c r="A187" s="73">
        <f>A181+1</f>
        <v>420</v>
      </c>
      <c r="B187" s="83" t="s">
        <v>378</v>
      </c>
      <c r="C187" s="27"/>
      <c r="D187" s="69"/>
      <c r="E187" s="40"/>
      <c r="F187" s="28"/>
    </row>
    <row r="188" spans="1:6" ht="12.75">
      <c r="A188" s="73"/>
      <c r="B188" s="75" t="s">
        <v>34</v>
      </c>
      <c r="C188" s="27"/>
      <c r="D188" s="69"/>
      <c r="E188" s="40"/>
      <c r="F188" s="28"/>
    </row>
    <row r="189" spans="1:6" ht="12.75">
      <c r="A189" s="73"/>
      <c r="B189" s="75" t="s">
        <v>379</v>
      </c>
      <c r="C189" s="27"/>
      <c r="D189" s="69"/>
      <c r="E189" s="40"/>
      <c r="F189" s="28"/>
    </row>
    <row r="190" spans="1:6" ht="12.75">
      <c r="A190" s="73"/>
      <c r="B190" s="20" t="s">
        <v>373</v>
      </c>
      <c r="C190" s="27"/>
      <c r="D190" s="69"/>
      <c r="E190" s="40"/>
      <c r="F190" s="28"/>
    </row>
    <row r="191" spans="1:6" ht="12.75">
      <c r="A191" s="54"/>
      <c r="B191" s="2" t="s">
        <v>1054</v>
      </c>
      <c r="C191" s="27" t="s">
        <v>11</v>
      </c>
      <c r="D191" s="69">
        <v>11.3</v>
      </c>
      <c r="E191" s="40"/>
      <c r="F191" s="28"/>
    </row>
    <row r="192" spans="1:6" ht="12.75">
      <c r="A192" s="54"/>
      <c r="C192" s="27"/>
      <c r="D192" s="69"/>
      <c r="E192" s="40"/>
      <c r="F192" s="28"/>
    </row>
    <row r="193" spans="1:6" ht="63.75">
      <c r="A193" s="73">
        <f>A187+1</f>
        <v>421</v>
      </c>
      <c r="B193" s="83" t="s">
        <v>275</v>
      </c>
      <c r="C193" s="27"/>
      <c r="D193" s="141"/>
      <c r="E193" s="142"/>
      <c r="F193" s="143"/>
    </row>
    <row r="194" spans="1:6" ht="12.75">
      <c r="A194" s="54"/>
      <c r="B194" s="75" t="s">
        <v>34</v>
      </c>
      <c r="C194" s="27"/>
      <c r="D194" s="141"/>
      <c r="E194" s="142"/>
      <c r="F194" s="143"/>
    </row>
    <row r="195" spans="1:6" ht="12.75">
      <c r="A195" s="54"/>
      <c r="B195" s="144" t="s">
        <v>1053</v>
      </c>
      <c r="C195" s="27" t="s">
        <v>11</v>
      </c>
      <c r="D195" s="69">
        <f>3.82*(0.31+0.5)*2*1.01</f>
        <v>6.250284000000001</v>
      </c>
      <c r="E195" s="40"/>
      <c r="F195" s="28"/>
    </row>
    <row r="196" spans="1:6" ht="12.75">
      <c r="A196" s="54"/>
      <c r="B196" s="44"/>
      <c r="C196" s="65"/>
      <c r="D196" s="80"/>
      <c r="E196" s="40"/>
      <c r="F196" s="28"/>
    </row>
    <row r="197" spans="1:6" ht="38.25">
      <c r="A197" s="96">
        <f>A193+1</f>
        <v>422</v>
      </c>
      <c r="B197" s="57" t="s">
        <v>64</v>
      </c>
      <c r="C197" s="65"/>
      <c r="D197" s="27"/>
      <c r="E197" s="40"/>
      <c r="F197" s="28"/>
    </row>
    <row r="198" spans="1:2" ht="12.75">
      <c r="A198" s="225"/>
      <c r="B198" s="75" t="s">
        <v>34</v>
      </c>
    </row>
    <row r="199" spans="1:2" ht="12.75">
      <c r="A199" s="54"/>
      <c r="B199" s="92" t="s">
        <v>399</v>
      </c>
    </row>
    <row r="200" spans="1:2" ht="12.75">
      <c r="A200" s="54"/>
      <c r="B200" s="67" t="s">
        <v>286</v>
      </c>
    </row>
    <row r="201" spans="1:6" ht="12.75">
      <c r="A201" s="54"/>
      <c r="B201" s="93" t="s">
        <v>1052</v>
      </c>
      <c r="C201" s="27" t="s">
        <v>11</v>
      </c>
      <c r="D201" s="69">
        <f>(10.51+2.77+10.37+2.79+10.91+10.92+11.25+51.9+29.94+18.27+93.65+5.91+16.57+18+55.48+10.32+7.15+15.17+14.29+14.23+13.87+43.47+27.78+10.71+8.72+50.8+38.45+23.99+27.65+11.09+28.34+40.37+14.62+16.8+15.96)*1.01</f>
        <v>790.8502</v>
      </c>
      <c r="E201" s="40"/>
      <c r="F201" s="28"/>
    </row>
    <row r="202" spans="1:6" ht="12.75">
      <c r="A202" s="54"/>
      <c r="B202" s="93"/>
      <c r="C202" s="27"/>
      <c r="D202" s="69"/>
      <c r="E202" s="40"/>
      <c r="F202" s="28"/>
    </row>
    <row r="203" spans="1:6" ht="12.75">
      <c r="A203" s="54"/>
      <c r="B203" s="67" t="s">
        <v>156</v>
      </c>
      <c r="C203" s="27"/>
      <c r="D203" s="69"/>
      <c r="E203" s="40"/>
      <c r="F203" s="28"/>
    </row>
    <row r="204" spans="1:6" ht="12.75">
      <c r="A204" s="54"/>
      <c r="B204" s="93" t="s">
        <v>1050</v>
      </c>
      <c r="C204" s="27" t="s">
        <v>11</v>
      </c>
      <c r="D204" s="69">
        <f>507.78*1.01</f>
        <v>512.8578</v>
      </c>
      <c r="E204" s="40"/>
      <c r="F204" s="28"/>
    </row>
    <row r="205" spans="1:6" ht="12.75">
      <c r="A205" s="54"/>
      <c r="B205" s="93" t="s">
        <v>1051</v>
      </c>
      <c r="C205" s="76" t="s">
        <v>11</v>
      </c>
      <c r="D205" s="85">
        <f>(111.31+20.67+51.42+113.12+45.93+33.3+5.11+4.04+17.04+17.54+20.56+2.93+8.1+9.2+9.09+9.3+3.36+4.42+8.23+20.91+17.06+62.99+5.41+36.22+21.15+19.2+47.87+75.45-31.81+9.3+42.07+34.93+53.06+7.65+43.14+44.5+90.39)*1.01</f>
        <v>1105.1016000000004</v>
      </c>
      <c r="E205" s="90"/>
      <c r="F205" s="91"/>
    </row>
    <row r="206" spans="1:6" ht="12.75">
      <c r="A206" s="54"/>
      <c r="B206" s="44"/>
      <c r="C206" s="27" t="s">
        <v>11</v>
      </c>
      <c r="D206" s="69">
        <f>SUM(D204:D205)</f>
        <v>1617.9594000000004</v>
      </c>
      <c r="E206" s="40"/>
      <c r="F206" s="28"/>
    </row>
    <row r="207" spans="1:6" ht="12.75">
      <c r="A207" s="54"/>
      <c r="B207" s="44"/>
      <c r="C207" s="27"/>
      <c r="D207" s="69"/>
      <c r="E207" s="40"/>
      <c r="F207" s="28"/>
    </row>
    <row r="208" spans="1:6" ht="12.75">
      <c r="A208" s="54"/>
      <c r="B208" s="67" t="s">
        <v>302</v>
      </c>
      <c r="C208" s="27"/>
      <c r="D208" s="69"/>
      <c r="E208" s="40"/>
      <c r="F208" s="28"/>
    </row>
    <row r="209" spans="1:6" ht="12.75">
      <c r="A209" s="54"/>
      <c r="B209" s="44" t="s">
        <v>1048</v>
      </c>
      <c r="C209" s="27" t="s">
        <v>11</v>
      </c>
      <c r="D209" s="69">
        <f>317.17+90.62+141.32</f>
        <v>549.11</v>
      </c>
      <c r="E209" s="40"/>
      <c r="F209" s="28"/>
    </row>
    <row r="210" spans="1:9" ht="12.75">
      <c r="A210" s="54"/>
      <c r="B210" s="93" t="s">
        <v>1049</v>
      </c>
      <c r="C210" s="76" t="s">
        <v>11</v>
      </c>
      <c r="D210" s="85">
        <f>21.01+461.09+210.62+16.51+105.01</f>
        <v>814.24</v>
      </c>
      <c r="E210" s="90"/>
      <c r="F210" s="91"/>
      <c r="G210" s="227"/>
      <c r="H210" s="227"/>
      <c r="I210" s="244"/>
    </row>
    <row r="211" spans="1:6" ht="12.75">
      <c r="A211" s="54"/>
      <c r="B211" s="44"/>
      <c r="C211" s="27" t="s">
        <v>11</v>
      </c>
      <c r="D211" s="69">
        <f>SUM(D209:D210)</f>
        <v>1363.35</v>
      </c>
      <c r="E211" s="40"/>
      <c r="F211" s="28"/>
    </row>
    <row r="212" spans="1:6" ht="12.75">
      <c r="A212" s="54"/>
      <c r="B212" s="67" t="s">
        <v>394</v>
      </c>
      <c r="C212" s="27"/>
      <c r="D212" s="69"/>
      <c r="E212" s="40"/>
      <c r="F212" s="28"/>
    </row>
    <row r="213" spans="1:6" ht="25.5">
      <c r="A213" s="54"/>
      <c r="B213" s="44" t="s">
        <v>1047</v>
      </c>
      <c r="C213" s="27" t="s">
        <v>406</v>
      </c>
      <c r="D213" s="69">
        <v>94.01</v>
      </c>
      <c r="E213" s="40"/>
      <c r="F213" s="28"/>
    </row>
    <row r="214" spans="1:6" ht="12.75">
      <c r="A214" s="54"/>
      <c r="B214" s="44"/>
      <c r="C214" s="27"/>
      <c r="D214" s="69"/>
      <c r="E214" s="40"/>
      <c r="F214" s="28"/>
    </row>
    <row r="215" spans="1:6" ht="12.75">
      <c r="A215" s="54"/>
      <c r="B215" s="67" t="s">
        <v>230</v>
      </c>
      <c r="C215" s="27"/>
      <c r="D215" s="27"/>
      <c r="E215" s="40"/>
      <c r="F215" s="28"/>
    </row>
    <row r="216" spans="1:6" ht="51">
      <c r="A216" s="54"/>
      <c r="B216" s="145" t="s">
        <v>231</v>
      </c>
      <c r="C216" s="27"/>
      <c r="D216" s="27"/>
      <c r="E216" s="40"/>
      <c r="F216" s="28"/>
    </row>
    <row r="217" spans="1:6" ht="12.75">
      <c r="A217" s="54"/>
      <c r="B217" s="145"/>
      <c r="C217" s="27"/>
      <c r="D217" s="27"/>
      <c r="E217" s="40"/>
      <c r="F217" s="28"/>
    </row>
    <row r="218" spans="1:6" ht="127.5">
      <c r="A218" s="96">
        <f>A197+1</f>
        <v>423</v>
      </c>
      <c r="B218" s="44" t="s">
        <v>1290</v>
      </c>
      <c r="C218" s="65"/>
      <c r="D218" s="27"/>
      <c r="E218" s="40"/>
      <c r="F218" s="28"/>
    </row>
    <row r="219" spans="1:2" ht="12.75">
      <c r="A219" s="225"/>
      <c r="B219" s="75" t="s">
        <v>34</v>
      </c>
    </row>
    <row r="220" spans="1:2" ht="12.75">
      <c r="A220" s="54"/>
      <c r="B220" s="67" t="s">
        <v>286</v>
      </c>
    </row>
    <row r="221" spans="1:2" ht="12.75">
      <c r="A221" s="54"/>
      <c r="B221" s="92" t="s">
        <v>411</v>
      </c>
    </row>
    <row r="222" spans="1:4" ht="63.75">
      <c r="A222" s="54"/>
      <c r="B222" s="93" t="s">
        <v>1045</v>
      </c>
      <c r="C222" s="27" t="s">
        <v>11</v>
      </c>
      <c r="D222" s="69">
        <f>(159.55+16.52+10.39+10.53+19.47+3.55+6.02+20.43+23.68+15.12+32.33+12.35+11.51+10.72+14.06+16.19+19.58+15.22+26.3+10.32+14.16+4.81+4.9+14.14)*1.01</f>
        <v>496.7685000000001</v>
      </c>
    </row>
    <row r="223" spans="1:6" ht="25.5">
      <c r="A223" s="54"/>
      <c r="B223" s="93" t="s">
        <v>1046</v>
      </c>
      <c r="C223" s="76" t="s">
        <v>11</v>
      </c>
      <c r="D223" s="85">
        <f>(16.55+89.71+16.43+16.98+4.81+4.92)*1.01</f>
        <v>150.89399999999998</v>
      </c>
      <c r="E223" s="90"/>
      <c r="F223" s="91"/>
    </row>
    <row r="224" spans="1:6" ht="12.75">
      <c r="A224" s="54"/>
      <c r="B224" s="44"/>
      <c r="C224" s="65"/>
      <c r="D224" s="69">
        <f>SUM(D222:D223)</f>
        <v>647.6625</v>
      </c>
      <c r="E224" s="40"/>
      <c r="F224" s="28"/>
    </row>
    <row r="225" spans="1:6" ht="12.75">
      <c r="A225" s="54"/>
      <c r="B225" s="44"/>
      <c r="C225" s="65"/>
      <c r="D225" s="69"/>
      <c r="E225" s="40"/>
      <c r="F225" s="28"/>
    </row>
    <row r="226" spans="1:6" ht="12.75">
      <c r="A226" s="54"/>
      <c r="B226" s="201" t="s">
        <v>156</v>
      </c>
      <c r="C226" s="27"/>
      <c r="D226" s="69"/>
      <c r="E226" s="40"/>
      <c r="F226" s="28"/>
    </row>
    <row r="227" spans="1:6" ht="12.75">
      <c r="A227" s="54"/>
      <c r="B227" s="29" t="s">
        <v>186</v>
      </c>
      <c r="C227" s="65"/>
      <c r="D227" s="27"/>
      <c r="E227" s="30"/>
      <c r="F227" s="30"/>
    </row>
    <row r="228" spans="1:6" ht="38.25">
      <c r="A228" s="54"/>
      <c r="B228" s="29" t="s">
        <v>1042</v>
      </c>
      <c r="C228" s="27" t="s">
        <v>11</v>
      </c>
      <c r="D228" s="69">
        <f>(10.61+39.97+10.26+6.2+10.96+25.68+35.97+42.93+42.07)*1.01</f>
        <v>226.8965</v>
      </c>
      <c r="E228" s="30"/>
      <c r="F228" s="30"/>
    </row>
    <row r="229" spans="1:6" ht="102">
      <c r="A229" s="54"/>
      <c r="B229" s="29" t="s">
        <v>1043</v>
      </c>
      <c r="C229" s="27" t="s">
        <v>11</v>
      </c>
      <c r="D229" s="41">
        <f>(61.61+45.95+136.99+65.68+12.26+12.12+14.43+13.92+4.77+8.77+8.5+3.41+5.94+10.36+15.91+14.3+13.34+13.82+13.66+4.43+15.15*2+8.78*2+8.73+21+18.97+26.28+12.24+19.42+20.03+9.14+9.74+9.57+9.48+10.6+13.11+13.91+9.83+25.36+13.67+42.39+34.08+32.21+20.05+20.25*2+20.3+20.29+15.37+15.12+13.88+10.74+12.13+5.97+5.08*2+4.08*2)*1.01</f>
        <v>1091.2646000000004</v>
      </c>
      <c r="E229" s="30"/>
      <c r="F229" s="30"/>
    </row>
    <row r="230" spans="1:6" ht="102">
      <c r="A230" s="54"/>
      <c r="B230" s="29" t="s">
        <v>1044</v>
      </c>
      <c r="C230" s="76" t="s">
        <v>11</v>
      </c>
      <c r="D230" s="71">
        <f>(53.17+169.41+159.75+7.07+12.19+10.45+9.62+3.25+8.52+8.51+3.38+7.58+16.47+12.75+9.96+11.11*2+43.17+20.12+16.9+15.1+7.55+14.06+12.57+21.84*3+9.4+23.6+12.61+8.09+21.07+10.42+18.72+10.11+9.95+17.81+21.46+27.51+59.51+21.31+21.05+29.69+51.37+40.72+62.46+30.12+37.84+39.84+13.45+20.81+5.08*2+4.08*2)*1.01</f>
        <v>1359.9952999999996</v>
      </c>
      <c r="E230" s="90"/>
      <c r="F230" s="91"/>
    </row>
    <row r="231" spans="1:6" ht="12.75">
      <c r="A231" s="54"/>
      <c r="B231" s="44"/>
      <c r="C231" s="27" t="s">
        <v>11</v>
      </c>
      <c r="D231" s="69">
        <f>SUM(D228:D230)</f>
        <v>2678.1564</v>
      </c>
      <c r="E231" s="40"/>
      <c r="F231" s="28"/>
    </row>
    <row r="232" spans="1:6" ht="12.75">
      <c r="A232" s="54"/>
      <c r="B232" s="44"/>
      <c r="C232" s="27"/>
      <c r="D232" s="69"/>
      <c r="E232" s="40"/>
      <c r="F232" s="28"/>
    </row>
    <row r="233" spans="1:6" ht="12.75">
      <c r="A233" s="54"/>
      <c r="B233" s="188" t="s">
        <v>302</v>
      </c>
      <c r="C233" s="8"/>
      <c r="D233" s="191"/>
      <c r="E233" s="40"/>
      <c r="F233" s="28"/>
    </row>
    <row r="234" spans="1:6" ht="12.75">
      <c r="A234" s="54"/>
      <c r="B234" s="29" t="s">
        <v>1039</v>
      </c>
      <c r="C234" s="27" t="s">
        <v>11</v>
      </c>
      <c r="D234" s="69">
        <f>47.28+155.07+28.28+34.72</f>
        <v>265.35</v>
      </c>
      <c r="E234" s="30"/>
      <c r="F234" s="30"/>
    </row>
    <row r="235" spans="1:6" ht="12.75">
      <c r="A235" s="54"/>
      <c r="B235" s="29" t="s">
        <v>1041</v>
      </c>
      <c r="C235" s="27" t="s">
        <v>11</v>
      </c>
      <c r="D235" s="41">
        <v>1107.6</v>
      </c>
      <c r="E235" s="30"/>
      <c r="F235" s="30"/>
    </row>
    <row r="236" spans="1:6" ht="12.75">
      <c r="A236" s="54"/>
      <c r="B236" s="29" t="s">
        <v>1040</v>
      </c>
      <c r="C236" s="76" t="s">
        <v>11</v>
      </c>
      <c r="D236" s="71">
        <v>846.4</v>
      </c>
      <c r="E236" s="90"/>
      <c r="F236" s="91"/>
    </row>
    <row r="237" spans="1:6" ht="12.75">
      <c r="A237" s="54"/>
      <c r="B237" s="44"/>
      <c r="C237" s="27" t="s">
        <v>11</v>
      </c>
      <c r="D237" s="69">
        <f>SUM(D234:D236)</f>
        <v>2219.35</v>
      </c>
      <c r="E237" s="40"/>
      <c r="F237" s="28"/>
    </row>
    <row r="238" spans="1:6" ht="12.75">
      <c r="A238" s="54"/>
      <c r="B238" s="188"/>
      <c r="C238" s="8"/>
      <c r="D238" s="191"/>
      <c r="E238" s="40"/>
      <c r="F238" s="28"/>
    </row>
    <row r="239" spans="1:6" ht="12.75">
      <c r="A239" s="54"/>
      <c r="B239" s="188" t="s">
        <v>402</v>
      </c>
      <c r="C239" s="8"/>
      <c r="D239" s="191"/>
      <c r="E239" s="40"/>
      <c r="F239" s="28"/>
    </row>
    <row r="240" spans="1:6" ht="12.75">
      <c r="A240" s="54"/>
      <c r="B240" s="29" t="s">
        <v>409</v>
      </c>
      <c r="C240" s="27"/>
      <c r="D240" s="80"/>
      <c r="E240" s="40"/>
      <c r="F240" s="28"/>
    </row>
    <row r="241" spans="1:6" ht="38.25">
      <c r="A241" s="54"/>
      <c r="B241" s="162" t="s">
        <v>404</v>
      </c>
      <c r="C241" s="27"/>
      <c r="D241" s="80"/>
      <c r="E241" s="40"/>
      <c r="F241" s="28"/>
    </row>
    <row r="242" spans="1:6" ht="38.25">
      <c r="A242" s="54"/>
      <c r="B242" s="89" t="s">
        <v>904</v>
      </c>
      <c r="C242" s="27" t="s">
        <v>11</v>
      </c>
      <c r="D242" s="191">
        <v>165.44</v>
      </c>
      <c r="E242" s="40"/>
      <c r="F242" s="28"/>
    </row>
    <row r="243" spans="1:6" ht="12.75">
      <c r="A243" s="54"/>
      <c r="B243" s="188"/>
      <c r="C243" s="27"/>
      <c r="D243" s="191"/>
      <c r="E243" s="40"/>
      <c r="F243" s="28"/>
    </row>
    <row r="244" spans="1:6" ht="76.5">
      <c r="A244" s="96">
        <f>A218+1</f>
        <v>424</v>
      </c>
      <c r="B244" s="44" t="s">
        <v>228</v>
      </c>
      <c r="C244" s="65"/>
      <c r="D244" s="27"/>
      <c r="E244" s="40"/>
      <c r="F244" s="28"/>
    </row>
    <row r="245" spans="1:2" ht="12.75">
      <c r="A245" s="225"/>
      <c r="B245" s="75" t="s">
        <v>34</v>
      </c>
    </row>
    <row r="246" spans="1:2" ht="12.75">
      <c r="A246" s="54" t="s">
        <v>19</v>
      </c>
      <c r="B246" s="67" t="s">
        <v>287</v>
      </c>
    </row>
    <row r="247" spans="1:2" ht="12.75">
      <c r="A247" s="54"/>
      <c r="B247" s="92" t="s">
        <v>95</v>
      </c>
    </row>
    <row r="248" spans="1:6" ht="12.75">
      <c r="A248" s="54"/>
      <c r="B248" s="93" t="s">
        <v>1038</v>
      </c>
      <c r="C248" s="27" t="s">
        <v>11</v>
      </c>
      <c r="D248" s="69">
        <f>481.76*1.01</f>
        <v>486.5776</v>
      </c>
      <c r="E248" s="40"/>
      <c r="F248" s="28"/>
    </row>
    <row r="249" spans="1:6" ht="12.75">
      <c r="A249" s="54"/>
      <c r="B249" s="44"/>
      <c r="C249" s="65"/>
      <c r="D249" s="27"/>
      <c r="E249" s="40"/>
      <c r="F249" s="28"/>
    </row>
    <row r="250" spans="1:2" ht="12.75">
      <c r="A250" s="54" t="s">
        <v>76</v>
      </c>
      <c r="B250" s="67" t="s">
        <v>157</v>
      </c>
    </row>
    <row r="251" spans="1:4" ht="12.75">
      <c r="A251" s="54"/>
      <c r="B251" s="57" t="s">
        <v>184</v>
      </c>
      <c r="C251" s="27"/>
      <c r="D251" s="41"/>
    </row>
    <row r="252" spans="1:6" ht="12.75">
      <c r="A252" s="54"/>
      <c r="B252" s="70" t="s">
        <v>1037</v>
      </c>
      <c r="C252" s="27" t="s">
        <v>11</v>
      </c>
      <c r="D252" s="41">
        <f>208.77*1.01</f>
        <v>210.85770000000002</v>
      </c>
      <c r="E252" s="40"/>
      <c r="F252" s="28"/>
    </row>
    <row r="253" spans="1:6" ht="12.75">
      <c r="A253" s="54"/>
      <c r="B253" s="29"/>
      <c r="C253" s="65"/>
      <c r="D253" s="27"/>
      <c r="E253" s="40"/>
      <c r="F253" s="28"/>
    </row>
    <row r="254" spans="1:6" ht="38.25">
      <c r="A254" s="73">
        <f>A244+1</f>
        <v>425</v>
      </c>
      <c r="B254" s="44" t="s">
        <v>333</v>
      </c>
      <c r="C254" s="65"/>
      <c r="D254" s="27"/>
      <c r="E254" s="40"/>
      <c r="F254" s="28"/>
    </row>
    <row r="255" spans="1:6" ht="12.75">
      <c r="A255" s="54"/>
      <c r="B255" s="75" t="s">
        <v>34</v>
      </c>
      <c r="C255" s="65"/>
      <c r="D255" s="27"/>
      <c r="E255" s="40"/>
      <c r="F255" s="28"/>
    </row>
    <row r="256" spans="1:6" ht="12.75">
      <c r="A256" s="54" t="s">
        <v>19</v>
      </c>
      <c r="B256" s="67" t="s">
        <v>287</v>
      </c>
      <c r="C256" s="65"/>
      <c r="D256" s="27"/>
      <c r="E256" s="30"/>
      <c r="F256" s="30"/>
    </row>
    <row r="257" spans="1:6" ht="12.75">
      <c r="A257" s="54"/>
      <c r="B257" s="29" t="s">
        <v>1036</v>
      </c>
      <c r="C257" s="27" t="s">
        <v>11</v>
      </c>
      <c r="D257" s="69">
        <f>(5.6*36.7+0.2*5.6*7+5.6*5*2)*1.01</f>
        <v>272.0536</v>
      </c>
      <c r="E257" s="40"/>
      <c r="F257" s="28"/>
    </row>
    <row r="258" spans="1:6" ht="12.75">
      <c r="A258" s="54"/>
      <c r="B258" s="29"/>
      <c r="C258" s="65"/>
      <c r="D258" s="27"/>
      <c r="E258" s="40"/>
      <c r="F258" s="28"/>
    </row>
    <row r="259" spans="1:6" ht="38.25">
      <c r="A259" s="96">
        <f>A254+1</f>
        <v>426</v>
      </c>
      <c r="B259" s="44" t="s">
        <v>210</v>
      </c>
      <c r="C259" s="65"/>
      <c r="D259" s="27"/>
      <c r="E259" s="28"/>
      <c r="F259" s="28"/>
    </row>
    <row r="260" spans="1:6" ht="12.75">
      <c r="A260" s="54"/>
      <c r="B260" s="75" t="s">
        <v>34</v>
      </c>
      <c r="C260" s="65"/>
      <c r="D260" s="27"/>
      <c r="E260" s="30"/>
      <c r="F260" s="30"/>
    </row>
    <row r="261" spans="1:6" ht="12.75">
      <c r="A261" s="54" t="s">
        <v>19</v>
      </c>
      <c r="B261" s="67" t="s">
        <v>287</v>
      </c>
      <c r="C261" s="65"/>
      <c r="D261" s="27"/>
      <c r="E261" s="30"/>
      <c r="F261" s="30"/>
    </row>
    <row r="262" spans="1:6" ht="12.75">
      <c r="A262" s="54"/>
      <c r="B262" s="29" t="s">
        <v>1035</v>
      </c>
      <c r="C262" s="27" t="s">
        <v>11</v>
      </c>
      <c r="D262" s="69">
        <f>(0.72*2+2.2)*2*5.6*1.01</f>
        <v>41.17568</v>
      </c>
      <c r="E262" s="40"/>
      <c r="F262" s="28"/>
    </row>
    <row r="263" spans="1:6" ht="12.75">
      <c r="A263" s="54"/>
      <c r="B263" s="29"/>
      <c r="C263" s="65"/>
      <c r="D263" s="27"/>
      <c r="E263" s="30"/>
      <c r="F263" s="30"/>
    </row>
    <row r="264" spans="1:6" ht="12.75">
      <c r="A264" s="54" t="s">
        <v>76</v>
      </c>
      <c r="B264" s="67" t="s">
        <v>157</v>
      </c>
      <c r="C264" s="65"/>
      <c r="D264" s="27"/>
      <c r="E264" s="30"/>
      <c r="F264" s="30"/>
    </row>
    <row r="265" spans="1:6" ht="12.75">
      <c r="A265" s="54"/>
      <c r="B265" s="29" t="s">
        <v>1034</v>
      </c>
      <c r="C265" s="27" t="s">
        <v>175</v>
      </c>
      <c r="D265" s="69">
        <f>70.1*1.01</f>
        <v>70.801</v>
      </c>
      <c r="E265" s="40"/>
      <c r="F265" s="28"/>
    </row>
    <row r="266" spans="1:6" ht="12.75">
      <c r="A266" s="54"/>
      <c r="B266" s="39"/>
      <c r="C266" s="27"/>
      <c r="D266" s="27"/>
      <c r="E266" s="28"/>
      <c r="F266" s="28"/>
    </row>
    <row r="267" spans="1:6" ht="12.75">
      <c r="A267" s="54" t="s">
        <v>194</v>
      </c>
      <c r="B267" s="67" t="s">
        <v>338</v>
      </c>
      <c r="C267" s="2"/>
      <c r="D267" s="27"/>
      <c r="E267" s="28"/>
      <c r="F267" s="28"/>
    </row>
    <row r="268" spans="1:6" ht="12.75">
      <c r="A268" s="54"/>
      <c r="B268" s="44" t="s">
        <v>1033</v>
      </c>
      <c r="C268" s="27" t="s">
        <v>175</v>
      </c>
      <c r="D268" s="69">
        <f>(32.3+0.26*23.9)*1.01</f>
        <v>38.899139999999996</v>
      </c>
      <c r="E268" s="40"/>
      <c r="F268" s="28"/>
    </row>
    <row r="269" spans="1:6" ht="12.75">
      <c r="A269" s="54"/>
      <c r="B269" s="29"/>
      <c r="C269" s="27"/>
      <c r="D269" s="27"/>
      <c r="E269" s="30"/>
      <c r="F269" s="30"/>
    </row>
    <row r="270" spans="1:2" s="41" customFormat="1" ht="45.75" customHeight="1">
      <c r="A270" s="73">
        <f>A259+1</f>
        <v>427</v>
      </c>
      <c r="B270" s="145" t="s">
        <v>229</v>
      </c>
    </row>
    <row r="271" spans="1:2" s="41" customFormat="1" ht="12.75">
      <c r="A271" s="73"/>
      <c r="B271" s="75" t="s">
        <v>34</v>
      </c>
    </row>
    <row r="272" spans="1:6" s="41" customFormat="1" ht="12.75">
      <c r="A272" s="73"/>
      <c r="B272" s="144" t="s">
        <v>1032</v>
      </c>
      <c r="C272" s="27" t="s">
        <v>11</v>
      </c>
      <c r="D272" s="69">
        <f>0.75*(5.6*5+5.6*2)*1.01</f>
        <v>29.694000000000003</v>
      </c>
      <c r="E272" s="40"/>
      <c r="F272" s="28"/>
    </row>
    <row r="273" spans="1:6" s="41" customFormat="1" ht="12.75">
      <c r="A273" s="73"/>
      <c r="B273" s="44"/>
      <c r="C273" s="27"/>
      <c r="D273" s="69"/>
      <c r="E273" s="40"/>
      <c r="F273" s="28"/>
    </row>
    <row r="274" spans="1:6" s="41" customFormat="1" ht="51">
      <c r="A274" s="73">
        <f>A270+1</f>
        <v>428</v>
      </c>
      <c r="B274" s="38" t="s">
        <v>334</v>
      </c>
      <c r="C274" s="8"/>
      <c r="D274" s="8"/>
      <c r="E274" s="40"/>
      <c r="F274" s="28"/>
    </row>
    <row r="275" spans="1:6" s="41" customFormat="1" ht="12.75">
      <c r="A275" s="73"/>
      <c r="B275" s="75" t="s">
        <v>34</v>
      </c>
      <c r="C275" s="8"/>
      <c r="D275" s="8"/>
      <c r="E275" s="40"/>
      <c r="F275" s="28"/>
    </row>
    <row r="276" spans="1:6" s="41" customFormat="1" ht="12.75">
      <c r="A276" s="54"/>
      <c r="B276" s="75" t="s">
        <v>1031</v>
      </c>
      <c r="C276" s="27" t="s">
        <v>11</v>
      </c>
      <c r="D276" s="69">
        <f>1*(36.4+0.24*2*5+0.24*2)*1.01</f>
        <v>39.672799999999995</v>
      </c>
      <c r="E276" s="40"/>
      <c r="F276" s="28"/>
    </row>
    <row r="277" spans="1:6" s="41" customFormat="1" ht="12.75">
      <c r="A277" s="54"/>
      <c r="B277" s="75"/>
      <c r="C277" s="27"/>
      <c r="D277" s="69"/>
      <c r="E277" s="40"/>
      <c r="F277" s="28"/>
    </row>
    <row r="278" spans="1:6" s="41" customFormat="1" ht="64.5" customHeight="1">
      <c r="A278" s="73">
        <f>A274+1</f>
        <v>429</v>
      </c>
      <c r="B278" s="38" t="s">
        <v>299</v>
      </c>
      <c r="C278" s="27"/>
      <c r="D278" s="69"/>
      <c r="E278" s="40"/>
      <c r="F278" s="28"/>
    </row>
    <row r="279" spans="1:6" s="41" customFormat="1" ht="12.75">
      <c r="A279" s="54"/>
      <c r="B279" s="144" t="s">
        <v>1030</v>
      </c>
      <c r="C279" s="27" t="s">
        <v>11</v>
      </c>
      <c r="D279" s="69">
        <f>0.55*4*3</f>
        <v>6.6000000000000005</v>
      </c>
      <c r="E279" s="40"/>
      <c r="F279" s="28"/>
    </row>
    <row r="280" spans="1:6" s="41" customFormat="1" ht="12.75">
      <c r="A280" s="54"/>
      <c r="B280" s="75"/>
      <c r="C280" s="27"/>
      <c r="D280" s="69"/>
      <c r="E280" s="40"/>
      <c r="F280" s="28"/>
    </row>
    <row r="281" spans="1:6" s="41" customFormat="1" ht="63.75">
      <c r="A281" s="73">
        <f>A278+1</f>
        <v>430</v>
      </c>
      <c r="B281" s="38" t="s">
        <v>374</v>
      </c>
      <c r="C281" s="27"/>
      <c r="D281" s="69"/>
      <c r="E281" s="40"/>
      <c r="F281" s="28"/>
    </row>
    <row r="282" spans="1:6" s="41" customFormat="1" ht="12.75">
      <c r="A282" s="73"/>
      <c r="B282" s="75" t="s">
        <v>34</v>
      </c>
      <c r="C282" s="27"/>
      <c r="D282" s="69"/>
      <c r="E282" s="40"/>
      <c r="F282" s="28"/>
    </row>
    <row r="283" spans="1:6" s="41" customFormat="1" ht="12.75">
      <c r="A283" s="54"/>
      <c r="B283" s="227" t="s">
        <v>1029</v>
      </c>
      <c r="C283" s="27" t="s">
        <v>11</v>
      </c>
      <c r="D283" s="69">
        <v>21.42</v>
      </c>
      <c r="E283" s="40"/>
      <c r="F283" s="28"/>
    </row>
    <row r="284" spans="1:6" s="41" customFormat="1" ht="12.75">
      <c r="A284" s="54"/>
      <c r="B284" s="75"/>
      <c r="C284" s="27"/>
      <c r="D284" s="69"/>
      <c r="E284" s="40"/>
      <c r="F284" s="28"/>
    </row>
    <row r="285" spans="1:6" s="41" customFormat="1" ht="76.5">
      <c r="A285" s="73">
        <f>A281+1</f>
        <v>431</v>
      </c>
      <c r="B285" s="38" t="s">
        <v>375</v>
      </c>
      <c r="C285" s="27"/>
      <c r="D285" s="69"/>
      <c r="E285" s="40"/>
      <c r="F285" s="28"/>
    </row>
    <row r="286" spans="1:6" s="41" customFormat="1" ht="12.75">
      <c r="A286" s="73"/>
      <c r="B286" s="75" t="s">
        <v>34</v>
      </c>
      <c r="C286" s="27"/>
      <c r="D286" s="69"/>
      <c r="E286" s="40"/>
      <c r="F286" s="28"/>
    </row>
    <row r="287" spans="1:6" s="41" customFormat="1" ht="12.75">
      <c r="A287" s="73"/>
      <c r="B287" s="41" t="s">
        <v>372</v>
      </c>
      <c r="C287" s="27"/>
      <c r="D287" s="69"/>
      <c r="E287" s="40"/>
      <c r="F287" s="28"/>
    </row>
    <row r="288" spans="1:6" s="41" customFormat="1" ht="12.75">
      <c r="A288" s="54"/>
      <c r="B288" s="227" t="s">
        <v>376</v>
      </c>
      <c r="C288" s="27" t="s">
        <v>11</v>
      </c>
      <c r="D288" s="69">
        <v>129.54</v>
      </c>
      <c r="E288" s="40"/>
      <c r="F288" s="28"/>
    </row>
    <row r="289" spans="1:6" s="41" customFormat="1" ht="12.75">
      <c r="A289" s="54"/>
      <c r="B289" s="310" t="s">
        <v>1028</v>
      </c>
      <c r="C289" s="27"/>
      <c r="D289" s="69"/>
      <c r="E289" s="40"/>
      <c r="F289" s="28"/>
    </row>
    <row r="290" spans="1:6" s="41" customFormat="1" ht="12.75">
      <c r="A290" s="54"/>
      <c r="B290" s="75"/>
      <c r="C290" s="27"/>
      <c r="D290" s="69"/>
      <c r="E290" s="40"/>
      <c r="F290" s="28"/>
    </row>
    <row r="291" spans="1:6" s="41" customFormat="1" ht="51">
      <c r="A291" s="73">
        <f>A285+1</f>
        <v>432</v>
      </c>
      <c r="B291" s="75" t="s">
        <v>303</v>
      </c>
      <c r="C291" s="27"/>
      <c r="D291" s="69"/>
      <c r="E291" s="40"/>
      <c r="F291" s="28"/>
    </row>
    <row r="292" spans="1:6" s="41" customFormat="1" ht="12.75">
      <c r="A292" s="54"/>
      <c r="B292" s="44" t="s">
        <v>304</v>
      </c>
      <c r="C292" s="27" t="s">
        <v>11</v>
      </c>
      <c r="D292" s="69">
        <f>0.6*(2.7+2.8)+0.6*(3.1+2.8+2.7*3+3.7)+0.6*(3.2+3.3)</f>
        <v>17.82</v>
      </c>
      <c r="E292" s="40"/>
      <c r="F292" s="28"/>
    </row>
    <row r="293" spans="1:6" s="41" customFormat="1" ht="25.5">
      <c r="A293" s="54"/>
      <c r="B293" s="309" t="s">
        <v>1027</v>
      </c>
      <c r="C293" s="27"/>
      <c r="D293" s="69"/>
      <c r="E293" s="40"/>
      <c r="F293" s="28"/>
    </row>
    <row r="294" spans="1:6" s="41" customFormat="1" ht="12.75">
      <c r="A294" s="54"/>
      <c r="B294" s="67"/>
      <c r="C294" s="27"/>
      <c r="D294" s="69"/>
      <c r="E294" s="40"/>
      <c r="F294" s="28"/>
    </row>
    <row r="295" spans="1:6" s="41" customFormat="1" ht="12.75">
      <c r="A295" s="54"/>
      <c r="B295" s="67"/>
      <c r="C295" s="27"/>
      <c r="D295" s="69"/>
      <c r="E295" s="40"/>
      <c r="F295" s="28"/>
    </row>
    <row r="296" spans="1:6" s="41" customFormat="1" ht="12.75">
      <c r="A296" s="54"/>
      <c r="B296" s="29"/>
      <c r="C296" s="65"/>
      <c r="D296" s="27"/>
      <c r="E296" s="30"/>
      <c r="F296" s="30"/>
    </row>
    <row r="297" spans="1:6" s="41" customFormat="1" ht="12.75">
      <c r="A297" s="46">
        <f>A4</f>
        <v>400</v>
      </c>
      <c r="B297" s="33" t="str">
        <f>B4</f>
        <v>IZOLATERSKI RADOVI</v>
      </c>
      <c r="C297" s="66" t="s">
        <v>1485</v>
      </c>
      <c r="D297" s="13"/>
      <c r="E297" s="14"/>
      <c r="F297" s="15"/>
    </row>
    <row r="298" spans="1:6" s="41" customFormat="1" ht="12.75">
      <c r="A298" s="53"/>
      <c r="B298" s="42"/>
      <c r="C298" s="64"/>
      <c r="D298" s="2"/>
      <c r="E298" s="2"/>
      <c r="F298" s="2"/>
    </row>
    <row r="299" spans="1:6" s="41" customFormat="1" ht="12.75">
      <c r="A299" s="53"/>
      <c r="B299" s="11"/>
      <c r="C299" s="64"/>
      <c r="D299" s="2"/>
      <c r="E299" s="2"/>
      <c r="F299" s="2"/>
    </row>
    <row r="300" spans="1:6" s="41" customFormat="1" ht="12.75">
      <c r="A300" s="54"/>
      <c r="B300" s="29"/>
      <c r="C300" s="65"/>
      <c r="D300" s="27"/>
      <c r="E300" s="30"/>
      <c r="F300" s="30"/>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5" manualBreakCount="5">
    <brk id="143" max="5" man="1"/>
    <brk id="179" max="5" man="1"/>
    <brk id="213" max="5" man="1"/>
    <brk id="231" max="5" man="1"/>
    <brk id="268" max="5" man="1"/>
  </rowBreaks>
</worksheet>
</file>

<file path=xl/worksheets/sheet7.xml><?xml version="1.0" encoding="utf-8"?>
<worksheet xmlns="http://schemas.openxmlformats.org/spreadsheetml/2006/main" xmlns:r="http://schemas.openxmlformats.org/officeDocument/2006/relationships">
  <dimension ref="A1:F33"/>
  <sheetViews>
    <sheetView zoomScaleSheetLayoutView="110" zoomScalePageLayoutView="0" workbookViewId="0" topLeftCell="A1">
      <pane ySplit="2" topLeftCell="A18" activePane="bottomLeft" state="frozen"/>
      <selection pane="topLeft" activeCell="C203" sqref="C203"/>
      <selection pane="bottomLeft" activeCell="C203" sqref="C203"/>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f>'izolaterski radovi'!A4+100</f>
        <v>500</v>
      </c>
      <c r="B4" s="82" t="s">
        <v>102</v>
      </c>
      <c r="C4" s="63"/>
      <c r="D4" s="13"/>
      <c r="E4" s="13"/>
      <c r="F4" s="13"/>
    </row>
    <row r="5" spans="1:6" ht="12.75">
      <c r="A5" s="73"/>
      <c r="B5" s="74"/>
      <c r="C5" s="59"/>
      <c r="D5" s="3"/>
      <c r="E5" s="3"/>
      <c r="F5" s="3"/>
    </row>
    <row r="6" spans="1:6" ht="38.25">
      <c r="A6" s="73"/>
      <c r="B6" s="422" t="s">
        <v>305</v>
      </c>
      <c r="C6" s="59"/>
      <c r="D6" s="3"/>
      <c r="E6" s="3"/>
      <c r="F6" s="3"/>
    </row>
    <row r="7" spans="1:6" ht="32.25" customHeight="1">
      <c r="A7" s="73"/>
      <c r="B7" s="79" t="s">
        <v>306</v>
      </c>
      <c r="C7" s="59"/>
      <c r="D7" s="3"/>
      <c r="E7" s="3"/>
      <c r="F7" s="3"/>
    </row>
    <row r="8" spans="1:6" ht="14.25">
      <c r="A8" s="73"/>
      <c r="B8" s="233"/>
      <c r="C8" s="59"/>
      <c r="D8" s="3"/>
      <c r="E8" s="3"/>
      <c r="F8" s="3"/>
    </row>
    <row r="9" spans="1:2" ht="102">
      <c r="A9" s="58">
        <f>A4+1</f>
        <v>501</v>
      </c>
      <c r="B9" s="57" t="s">
        <v>330</v>
      </c>
    </row>
    <row r="10" spans="1:2" ht="25.5">
      <c r="A10" s="58"/>
      <c r="B10" s="57" t="s">
        <v>336</v>
      </c>
    </row>
    <row r="11" spans="1:2" ht="12.75">
      <c r="A11" s="58"/>
      <c r="B11" s="57" t="s">
        <v>307</v>
      </c>
    </row>
    <row r="12" spans="1:6" ht="25.5">
      <c r="A12" s="73"/>
      <c r="B12" s="67" t="s">
        <v>355</v>
      </c>
      <c r="C12" s="27" t="s">
        <v>13</v>
      </c>
      <c r="D12" s="2">
        <f>106.2+5.22*2+5.54*2+36.2+4.7*2+35.5+36.7+6*2</f>
        <v>257.52000000000004</v>
      </c>
      <c r="E12" s="40"/>
      <c r="F12" s="40"/>
    </row>
    <row r="13" spans="1:4" ht="12.75">
      <c r="A13" s="54"/>
      <c r="B13" s="304" t="s">
        <v>1383</v>
      </c>
      <c r="C13" s="27"/>
      <c r="D13" s="69"/>
    </row>
    <row r="14" spans="1:4" ht="12.75">
      <c r="A14" s="54"/>
      <c r="B14" s="304"/>
      <c r="C14" s="27"/>
      <c r="D14" s="69"/>
    </row>
    <row r="15" spans="1:6" ht="12.75">
      <c r="A15" s="54"/>
      <c r="B15" s="67" t="s">
        <v>356</v>
      </c>
      <c r="C15" s="27" t="s">
        <v>13</v>
      </c>
      <c r="D15" s="69">
        <f>(167.84+71.92)*1.01</f>
        <v>242.1576</v>
      </c>
      <c r="E15" s="40"/>
      <c r="F15" s="40"/>
    </row>
    <row r="16" spans="1:6" ht="12.75">
      <c r="A16" s="54"/>
      <c r="B16" s="309" t="s">
        <v>1384</v>
      </c>
      <c r="C16" s="27"/>
      <c r="D16" s="69"/>
      <c r="E16" s="40"/>
      <c r="F16" s="40"/>
    </row>
    <row r="17" spans="1:6" ht="12.75">
      <c r="A17" s="54"/>
      <c r="B17" s="309"/>
      <c r="C17" s="27"/>
      <c r="D17" s="69"/>
      <c r="E17" s="40"/>
      <c r="F17" s="40"/>
    </row>
    <row r="18" spans="1:6" ht="12.75">
      <c r="A18" s="54"/>
      <c r="B18" s="67" t="s">
        <v>504</v>
      </c>
      <c r="C18" s="27" t="s">
        <v>13</v>
      </c>
      <c r="D18" s="69">
        <f>7.5*2*1.01</f>
        <v>15.15</v>
      </c>
      <c r="E18" s="40"/>
      <c r="F18" s="40"/>
    </row>
    <row r="19" spans="1:6" ht="12.75">
      <c r="A19" s="54"/>
      <c r="B19" s="144" t="s">
        <v>1385</v>
      </c>
      <c r="C19" s="27"/>
      <c r="D19" s="69"/>
      <c r="E19" s="40"/>
      <c r="F19" s="40"/>
    </row>
    <row r="20" spans="1:6" ht="12.75">
      <c r="A20" s="54"/>
      <c r="B20" s="93"/>
      <c r="C20" s="27"/>
      <c r="D20" s="69"/>
      <c r="E20" s="40"/>
      <c r="F20" s="28"/>
    </row>
    <row r="21" spans="1:6" ht="12.75">
      <c r="A21" s="54"/>
      <c r="B21" s="67" t="s">
        <v>501</v>
      </c>
      <c r="C21" s="27" t="s">
        <v>13</v>
      </c>
      <c r="D21" s="69">
        <f>(131.85+30.75+37.7)*1.01</f>
        <v>202.30300000000003</v>
      </c>
      <c r="E21" s="40"/>
      <c r="F21" s="40"/>
    </row>
    <row r="22" spans="1:6" ht="12.75">
      <c r="A22" s="54"/>
      <c r="B22" s="309" t="s">
        <v>1386</v>
      </c>
      <c r="C22" s="27"/>
      <c r="D22" s="69"/>
      <c r="E22" s="40"/>
      <c r="F22" s="40"/>
    </row>
    <row r="23" spans="1:6" ht="12.75">
      <c r="A23" s="54"/>
      <c r="B23" s="67"/>
      <c r="C23" s="27"/>
      <c r="D23" s="69"/>
      <c r="E23" s="40"/>
      <c r="F23" s="40"/>
    </row>
    <row r="24" spans="1:6" ht="25.5">
      <c r="A24" s="54"/>
      <c r="B24" s="67" t="s">
        <v>503</v>
      </c>
      <c r="C24" s="27" t="s">
        <v>13</v>
      </c>
      <c r="D24" s="69">
        <v>17.5</v>
      </c>
      <c r="E24" s="40"/>
      <c r="F24" s="40"/>
    </row>
    <row r="25" spans="1:6" ht="12.75">
      <c r="A25" s="54"/>
      <c r="B25" s="309" t="s">
        <v>1387</v>
      </c>
      <c r="C25" s="27"/>
      <c r="D25" s="69"/>
      <c r="E25" s="40"/>
      <c r="F25" s="40"/>
    </row>
    <row r="26" spans="1:6" ht="12.75">
      <c r="A26" s="54"/>
      <c r="B26" s="44"/>
      <c r="C26" s="65"/>
      <c r="D26" s="27"/>
      <c r="E26" s="40"/>
      <c r="F26" s="28"/>
    </row>
    <row r="27" spans="1:6" ht="89.25">
      <c r="A27" s="58">
        <f>A9+1</f>
        <v>502</v>
      </c>
      <c r="B27" s="57" t="s">
        <v>308</v>
      </c>
      <c r="C27" s="65"/>
      <c r="D27" s="27"/>
      <c r="E27" s="40"/>
      <c r="F27" s="28"/>
    </row>
    <row r="28" spans="1:6" ht="12.75">
      <c r="A28" s="54"/>
      <c r="B28" s="57" t="s">
        <v>307</v>
      </c>
      <c r="C28" s="65"/>
      <c r="D28" s="27"/>
      <c r="E28" s="30"/>
      <c r="F28" s="30"/>
    </row>
    <row r="29" spans="1:6" ht="12.75">
      <c r="A29" s="54"/>
      <c r="B29" s="303" t="s">
        <v>1098</v>
      </c>
      <c r="C29" s="27" t="s">
        <v>13</v>
      </c>
      <c r="D29" s="41">
        <f>(2.7+2.8)+(3.1+2.8+2.7*3+3.7)+(3.2+3.3)</f>
        <v>29.700000000000003</v>
      </c>
      <c r="E29" s="40"/>
      <c r="F29" s="28"/>
    </row>
    <row r="30" spans="1:6" ht="102">
      <c r="A30" s="186">
        <f>A27+1</f>
        <v>503</v>
      </c>
      <c r="B30" s="57" t="s">
        <v>357</v>
      </c>
      <c r="C30" s="27"/>
      <c r="D30" s="69"/>
      <c r="E30" s="40"/>
      <c r="F30" s="28"/>
    </row>
    <row r="31" spans="1:6" ht="12.75">
      <c r="A31" s="55"/>
      <c r="B31" s="333" t="s">
        <v>1388</v>
      </c>
      <c r="C31" s="27" t="s">
        <v>13</v>
      </c>
      <c r="D31" s="97">
        <v>50.6</v>
      </c>
      <c r="E31" s="40"/>
      <c r="F31" s="28"/>
    </row>
    <row r="32" spans="1:6" s="41" customFormat="1" ht="12.75">
      <c r="A32" s="55"/>
      <c r="B32" s="29"/>
      <c r="C32" s="65"/>
      <c r="D32" s="27"/>
      <c r="E32" s="30"/>
      <c r="F32" s="30"/>
    </row>
    <row r="33" spans="1:6" s="41" customFormat="1" ht="12.75">
      <c r="A33" s="46">
        <f>A4</f>
        <v>500</v>
      </c>
      <c r="B33" s="33" t="str">
        <f>B4</f>
        <v>LIMARSKI RADOVI</v>
      </c>
      <c r="C33" s="66" t="s">
        <v>1484</v>
      </c>
      <c r="D33" s="13"/>
      <c r="E33" s="14"/>
      <c r="F33" s="15"/>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F39"/>
  <sheetViews>
    <sheetView zoomScaleSheetLayoutView="110" zoomScalePageLayoutView="0" workbookViewId="0" topLeftCell="A1">
      <pane ySplit="2" topLeftCell="A18" activePane="bottomLeft" state="frozen"/>
      <selection pane="topLeft" activeCell="C203" sqref="C203"/>
      <selection pane="bottomLeft" activeCell="C203" sqref="C203"/>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v>600</v>
      </c>
      <c r="B4" s="82" t="s">
        <v>103</v>
      </c>
      <c r="C4" s="63"/>
      <c r="D4" s="13"/>
      <c r="E4" s="13"/>
      <c r="F4" s="13"/>
    </row>
    <row r="5" spans="1:6" ht="12.75">
      <c r="A5" s="73"/>
      <c r="B5" s="156"/>
      <c r="C5" s="59"/>
      <c r="D5" s="3"/>
      <c r="E5" s="3"/>
      <c r="F5" s="3"/>
    </row>
    <row r="6" spans="1:6" ht="130.5" customHeight="1">
      <c r="A6" s="73"/>
      <c r="B6" s="156" t="s">
        <v>547</v>
      </c>
      <c r="C6" s="59"/>
      <c r="D6" s="3"/>
      <c r="E6" s="3"/>
      <c r="F6" s="3"/>
    </row>
    <row r="7" spans="1:6" ht="12.75">
      <c r="A7" s="73"/>
      <c r="B7" s="217" t="s">
        <v>536</v>
      </c>
      <c r="C7" s="59"/>
      <c r="D7" s="3"/>
      <c r="E7" s="3"/>
      <c r="F7" s="3"/>
    </row>
    <row r="8" spans="1:2" ht="90.75" customHeight="1">
      <c r="A8" s="58">
        <f>A4+1</f>
        <v>601</v>
      </c>
      <c r="B8" s="57" t="s">
        <v>537</v>
      </c>
    </row>
    <row r="9" spans="1:2" ht="66.75" customHeight="1">
      <c r="A9" s="58"/>
      <c r="B9" s="57" t="s">
        <v>538</v>
      </c>
    </row>
    <row r="10" spans="1:2" ht="16.5" customHeight="1">
      <c r="A10" s="58"/>
      <c r="B10" s="57" t="s">
        <v>539</v>
      </c>
    </row>
    <row r="11" spans="1:2" ht="16.5" customHeight="1">
      <c r="A11" s="58"/>
      <c r="B11" s="57" t="s">
        <v>548</v>
      </c>
    </row>
    <row r="12" spans="1:6" ht="12.75">
      <c r="A12" s="54"/>
      <c r="B12" s="67" t="s">
        <v>287</v>
      </c>
      <c r="C12" s="277" t="s">
        <v>540</v>
      </c>
      <c r="D12" s="69">
        <v>2</v>
      </c>
      <c r="E12" s="40"/>
      <c r="F12" s="28"/>
    </row>
    <row r="13" spans="1:2" ht="12.75">
      <c r="A13" s="54"/>
      <c r="B13" s="92"/>
    </row>
    <row r="14" spans="1:6" ht="69.75" customHeight="1">
      <c r="A14" s="58">
        <f>A8+1</f>
        <v>602</v>
      </c>
      <c r="B14" s="57" t="s">
        <v>541</v>
      </c>
      <c r="C14" s="65"/>
      <c r="D14" s="27"/>
      <c r="E14" s="40"/>
      <c r="F14" s="28"/>
    </row>
    <row r="15" spans="1:6" ht="79.5" customHeight="1">
      <c r="A15" s="58"/>
      <c r="B15" s="57" t="s">
        <v>542</v>
      </c>
      <c r="C15" s="65"/>
      <c r="D15" s="27"/>
      <c r="E15" s="40"/>
      <c r="F15" s="28"/>
    </row>
    <row r="16" spans="1:2" ht="16.5" customHeight="1">
      <c r="A16" s="58"/>
      <c r="B16" s="57" t="s">
        <v>539</v>
      </c>
    </row>
    <row r="17" spans="1:2" ht="16.5" customHeight="1">
      <c r="A17" s="58"/>
      <c r="B17" s="57" t="s">
        <v>543</v>
      </c>
    </row>
    <row r="18" spans="1:2" ht="12.75">
      <c r="A18" s="225" t="s">
        <v>19</v>
      </c>
      <c r="B18" s="67" t="s">
        <v>287</v>
      </c>
    </row>
    <row r="19" spans="1:6" ht="16.5" customHeight="1">
      <c r="A19" s="278" t="s">
        <v>39</v>
      </c>
      <c r="B19" s="57" t="s">
        <v>549</v>
      </c>
      <c r="C19" s="277" t="s">
        <v>540</v>
      </c>
      <c r="D19" s="69">
        <v>16</v>
      </c>
      <c r="E19" s="40"/>
      <c r="F19" s="28"/>
    </row>
    <row r="20" spans="1:6" ht="12.75">
      <c r="A20" s="54" t="s">
        <v>40</v>
      </c>
      <c r="B20" s="57" t="s">
        <v>550</v>
      </c>
      <c r="C20" s="277" t="s">
        <v>540</v>
      </c>
      <c r="D20" s="69">
        <v>1</v>
      </c>
      <c r="E20" s="40"/>
      <c r="F20" s="28"/>
    </row>
    <row r="21" spans="1:6" ht="16.5" customHeight="1">
      <c r="A21" s="278" t="s">
        <v>41</v>
      </c>
      <c r="B21" s="57" t="s">
        <v>551</v>
      </c>
      <c r="C21" s="277" t="s">
        <v>540</v>
      </c>
      <c r="D21" s="69">
        <v>1</v>
      </c>
      <c r="E21" s="40"/>
      <c r="F21" s="28"/>
    </row>
    <row r="22" spans="1:6" ht="12" customHeight="1">
      <c r="A22" s="54"/>
      <c r="B22" s="57"/>
      <c r="C22" s="277"/>
      <c r="D22" s="69"/>
      <c r="E22" s="40"/>
      <c r="F22" s="28"/>
    </row>
    <row r="23" spans="1:2" ht="12.75">
      <c r="A23" s="58"/>
      <c r="B23" s="57" t="s">
        <v>544</v>
      </c>
    </row>
    <row r="24" spans="1:6" ht="16.5" customHeight="1">
      <c r="A24" s="54" t="s">
        <v>42</v>
      </c>
      <c r="B24" s="57" t="s">
        <v>552</v>
      </c>
      <c r="C24" s="277" t="s">
        <v>540</v>
      </c>
      <c r="D24" s="69">
        <v>1</v>
      </c>
      <c r="E24" s="40"/>
      <c r="F24" s="28"/>
    </row>
    <row r="25" spans="1:6" ht="12.75">
      <c r="A25" s="54" t="s">
        <v>43</v>
      </c>
      <c r="B25" s="57" t="s">
        <v>553</v>
      </c>
      <c r="C25" s="277" t="s">
        <v>540</v>
      </c>
      <c r="D25" s="69">
        <v>1</v>
      </c>
      <c r="E25" s="40"/>
      <c r="F25" s="28"/>
    </row>
    <row r="26" spans="1:4" ht="12.75">
      <c r="A26" s="54"/>
      <c r="B26" s="92"/>
      <c r="C26" s="27"/>
      <c r="D26" s="72"/>
    </row>
    <row r="27" spans="1:6" ht="69" customHeight="1">
      <c r="A27" s="58">
        <f>A14+1</f>
        <v>603</v>
      </c>
      <c r="B27" s="57" t="s">
        <v>545</v>
      </c>
      <c r="C27" s="65"/>
      <c r="D27" s="27"/>
      <c r="E27" s="40"/>
      <c r="F27" s="28"/>
    </row>
    <row r="28" spans="1:6" ht="60.75" customHeight="1">
      <c r="A28" s="58"/>
      <c r="B28" s="57" t="s">
        <v>546</v>
      </c>
      <c r="C28" s="65"/>
      <c r="D28" s="27"/>
      <c r="E28" s="40"/>
      <c r="F28" s="28"/>
    </row>
    <row r="29" spans="1:2" ht="16.5" customHeight="1">
      <c r="A29" s="58"/>
      <c r="B29" s="57" t="s">
        <v>539</v>
      </c>
    </row>
    <row r="30" spans="1:2" ht="16.5" customHeight="1">
      <c r="A30" s="58"/>
      <c r="B30" s="57" t="s">
        <v>543</v>
      </c>
    </row>
    <row r="31" spans="1:2" ht="16.5" customHeight="1">
      <c r="A31" s="225" t="s">
        <v>194</v>
      </c>
      <c r="B31" s="67" t="s">
        <v>338</v>
      </c>
    </row>
    <row r="32" spans="1:6" ht="16.5" customHeight="1">
      <c r="A32" s="278" t="s">
        <v>39</v>
      </c>
      <c r="B32" s="57" t="s">
        <v>554</v>
      </c>
      <c r="C32" s="277" t="s">
        <v>540</v>
      </c>
      <c r="D32" s="69">
        <v>11</v>
      </c>
      <c r="E32" s="40"/>
      <c r="F32" s="28"/>
    </row>
    <row r="33" spans="1:6" ht="16.5" customHeight="1">
      <c r="A33" s="278" t="s">
        <v>40</v>
      </c>
      <c r="B33" s="57" t="s">
        <v>555</v>
      </c>
      <c r="C33" s="277" t="s">
        <v>540</v>
      </c>
      <c r="D33" s="69">
        <v>19</v>
      </c>
      <c r="E33" s="40"/>
      <c r="F33" s="28"/>
    </row>
    <row r="34" spans="1:6" ht="16.5" customHeight="1">
      <c r="A34" s="278" t="s">
        <v>41</v>
      </c>
      <c r="B34" s="57" t="s">
        <v>556</v>
      </c>
      <c r="C34" s="277" t="s">
        <v>540</v>
      </c>
      <c r="D34" s="69">
        <v>5</v>
      </c>
      <c r="E34" s="40"/>
      <c r="F34" s="28"/>
    </row>
    <row r="35" spans="1:6" ht="16.5" customHeight="1">
      <c r="A35" s="278" t="s">
        <v>42</v>
      </c>
      <c r="B35" s="57" t="s">
        <v>557</v>
      </c>
      <c r="C35" s="277" t="s">
        <v>540</v>
      </c>
      <c r="D35" s="69">
        <v>2</v>
      </c>
      <c r="E35" s="40"/>
      <c r="F35" s="28"/>
    </row>
    <row r="36" spans="1:6" s="41" customFormat="1" ht="12.75">
      <c r="A36" s="54"/>
      <c r="B36" s="47"/>
      <c r="C36" s="8"/>
      <c r="D36" s="8"/>
      <c r="E36" s="40"/>
      <c r="F36" s="28"/>
    </row>
    <row r="37" spans="1:6" s="41" customFormat="1" ht="12.75">
      <c r="A37" s="55"/>
      <c r="B37" s="29"/>
      <c r="C37" s="65"/>
      <c r="D37" s="27"/>
      <c r="E37" s="30"/>
      <c r="F37" s="30"/>
    </row>
    <row r="38" spans="1:6" s="41" customFormat="1" ht="12.75">
      <c r="A38" s="46">
        <f>A4</f>
        <v>600</v>
      </c>
      <c r="B38" s="33" t="str">
        <f>B4</f>
        <v>STOLARSKI RADOVI</v>
      </c>
      <c r="C38" s="66" t="s">
        <v>1485</v>
      </c>
      <c r="D38" s="13"/>
      <c r="E38" s="14"/>
      <c r="F38" s="15"/>
    </row>
    <row r="39" spans="1:6" s="41" customFormat="1" ht="12.75">
      <c r="A39" s="53"/>
      <c r="B39" s="42"/>
      <c r="C39" s="64"/>
      <c r="D39" s="2"/>
      <c r="E39" s="2"/>
      <c r="F39" s="2"/>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F630"/>
  <sheetViews>
    <sheetView zoomScaleSheetLayoutView="110" zoomScalePageLayoutView="0" workbookViewId="0" topLeftCell="A1">
      <pane ySplit="2" topLeftCell="A615" activePane="bottomLeft" state="frozen"/>
      <selection pane="topLeft" activeCell="C203" sqref="C203"/>
      <selection pane="bottomLeft" activeCell="C203" sqref="C203"/>
    </sheetView>
  </sheetViews>
  <sheetFormatPr defaultColWidth="8.88671875" defaultRowHeight="15"/>
  <cols>
    <col min="1" max="1" width="5.77734375" style="56" customWidth="1"/>
    <col min="2" max="2" width="35.77734375" style="2" customWidth="1"/>
    <col min="3" max="3" width="7.77734375" style="64" customWidth="1"/>
    <col min="4" max="4" width="7.77734375" style="2" customWidth="1"/>
    <col min="5" max="5" width="10.77734375" style="2" customWidth="1"/>
    <col min="6" max="6" width="12.77734375" style="2" customWidth="1"/>
    <col min="7" max="16384" width="8.88671875" style="2" customWidth="1"/>
  </cols>
  <sheetData>
    <row r="1" spans="1:6" ht="25.5" customHeight="1">
      <c r="A1" s="50" t="s">
        <v>6</v>
      </c>
      <c r="B1" s="5" t="s">
        <v>7</v>
      </c>
      <c r="C1" s="60" t="s">
        <v>8</v>
      </c>
      <c r="D1" s="26" t="s">
        <v>9</v>
      </c>
      <c r="E1" s="31" t="s">
        <v>1481</v>
      </c>
      <c r="F1" s="26" t="s">
        <v>1482</v>
      </c>
    </row>
    <row r="2" spans="1:6" ht="12.75">
      <c r="A2" s="51" t="s">
        <v>0</v>
      </c>
      <c r="B2" s="5" t="s">
        <v>1</v>
      </c>
      <c r="C2" s="61" t="s">
        <v>2</v>
      </c>
      <c r="D2" s="5" t="s">
        <v>3</v>
      </c>
      <c r="E2" s="5" t="s">
        <v>4</v>
      </c>
      <c r="F2" s="5" t="s">
        <v>5</v>
      </c>
    </row>
    <row r="3" spans="1:6" ht="12.75">
      <c r="A3" s="52"/>
      <c r="B3" s="32"/>
      <c r="C3" s="62"/>
      <c r="D3" s="32"/>
      <c r="E3" s="32"/>
      <c r="F3" s="32"/>
    </row>
    <row r="4" spans="1:6" ht="12.75">
      <c r="A4" s="84">
        <v>700</v>
      </c>
      <c r="B4" s="82" t="s">
        <v>104</v>
      </c>
      <c r="C4" s="63"/>
      <c r="D4" s="13"/>
      <c r="E4" s="13"/>
      <c r="F4" s="13"/>
    </row>
    <row r="5" spans="1:6" ht="12.75">
      <c r="A5" s="73"/>
      <c r="B5" s="74"/>
      <c r="C5" s="59"/>
      <c r="D5" s="3"/>
      <c r="E5" s="3"/>
      <c r="F5" s="3"/>
    </row>
    <row r="6" spans="1:6" ht="165.75">
      <c r="A6" s="73"/>
      <c r="B6" s="156" t="s">
        <v>1478</v>
      </c>
      <c r="C6" s="59"/>
      <c r="D6" s="3"/>
      <c r="E6" s="3"/>
      <c r="F6" s="3"/>
    </row>
    <row r="7" spans="1:6" ht="12.75">
      <c r="A7" s="73"/>
      <c r="B7" s="156" t="s">
        <v>558</v>
      </c>
      <c r="C7" s="59"/>
      <c r="D7" s="3"/>
      <c r="E7" s="3"/>
      <c r="F7" s="3"/>
    </row>
    <row r="8" spans="1:6" ht="12.75">
      <c r="A8" s="73"/>
      <c r="B8" s="74"/>
      <c r="C8" s="59"/>
      <c r="D8" s="3"/>
      <c r="E8" s="3"/>
      <c r="F8" s="3"/>
    </row>
    <row r="9" spans="1:6" ht="12.75">
      <c r="A9" s="73"/>
      <c r="B9" s="217" t="s">
        <v>559</v>
      </c>
      <c r="C9" s="59"/>
      <c r="D9" s="3"/>
      <c r="E9" s="3"/>
      <c r="F9" s="3"/>
    </row>
    <row r="10" spans="1:2" ht="104.25" customHeight="1">
      <c r="A10" s="58">
        <f>A4+1</f>
        <v>701</v>
      </c>
      <c r="B10" s="57" t="s">
        <v>560</v>
      </c>
    </row>
    <row r="11" spans="1:2" ht="80.25" customHeight="1">
      <c r="A11" s="58"/>
      <c r="B11" s="57" t="s">
        <v>561</v>
      </c>
    </row>
    <row r="12" spans="1:2" ht="15" customHeight="1">
      <c r="A12" s="58"/>
      <c r="B12" s="57" t="s">
        <v>539</v>
      </c>
    </row>
    <row r="13" spans="1:2" ht="16.5" customHeight="1">
      <c r="A13" s="58"/>
      <c r="B13" s="57" t="s">
        <v>562</v>
      </c>
    </row>
    <row r="14" spans="1:2" ht="16.5" customHeight="1">
      <c r="A14" s="278" t="s">
        <v>39</v>
      </c>
      <c r="B14" s="57" t="s">
        <v>647</v>
      </c>
    </row>
    <row r="15" spans="1:6" ht="16.5" customHeight="1">
      <c r="A15" s="73" t="s">
        <v>19</v>
      </c>
      <c r="B15" s="67" t="s">
        <v>287</v>
      </c>
      <c r="C15" s="277" t="s">
        <v>540</v>
      </c>
      <c r="D15" s="69">
        <v>1</v>
      </c>
      <c r="E15" s="40"/>
      <c r="F15" s="28"/>
    </row>
    <row r="16" spans="1:6" ht="12.75">
      <c r="A16" s="73" t="s">
        <v>76</v>
      </c>
      <c r="B16" s="67" t="s">
        <v>157</v>
      </c>
      <c r="C16" s="277" t="s">
        <v>540</v>
      </c>
      <c r="D16" s="69">
        <v>1</v>
      </c>
      <c r="E16" s="40"/>
      <c r="F16" s="28"/>
    </row>
    <row r="17" spans="1:2" ht="16.5" customHeight="1">
      <c r="A17" s="278" t="s">
        <v>40</v>
      </c>
      <c r="B17" s="57" t="s">
        <v>648</v>
      </c>
    </row>
    <row r="18" spans="1:6" ht="16.5" customHeight="1">
      <c r="A18" s="73" t="s">
        <v>19</v>
      </c>
      <c r="B18" s="67" t="s">
        <v>287</v>
      </c>
      <c r="C18" s="277" t="s">
        <v>540</v>
      </c>
      <c r="D18" s="69">
        <v>1</v>
      </c>
      <c r="E18" s="40"/>
      <c r="F18" s="28"/>
    </row>
    <row r="19" spans="1:6" ht="12.75">
      <c r="A19" s="73" t="s">
        <v>76</v>
      </c>
      <c r="B19" s="67" t="s">
        <v>157</v>
      </c>
      <c r="C19" s="277" t="s">
        <v>540</v>
      </c>
      <c r="D19" s="69">
        <v>13</v>
      </c>
      <c r="E19" s="40"/>
      <c r="F19" s="28"/>
    </row>
    <row r="20" spans="1:6" ht="12.75">
      <c r="A20" s="73" t="s">
        <v>563</v>
      </c>
      <c r="B20" s="67" t="s">
        <v>564</v>
      </c>
      <c r="C20" s="277" t="s">
        <v>540</v>
      </c>
      <c r="D20" s="69">
        <v>4</v>
      </c>
      <c r="E20" s="40"/>
      <c r="F20" s="28"/>
    </row>
    <row r="21" spans="1:6" ht="10.5" customHeight="1">
      <c r="A21" s="54"/>
      <c r="B21" s="93"/>
      <c r="C21" s="27"/>
      <c r="D21" s="69"/>
      <c r="E21" s="40"/>
      <c r="F21" s="28"/>
    </row>
    <row r="22" spans="1:2" ht="16.5" customHeight="1">
      <c r="A22" s="58"/>
      <c r="B22" s="57" t="s">
        <v>565</v>
      </c>
    </row>
    <row r="23" spans="1:2" ht="16.5" customHeight="1">
      <c r="A23" s="278" t="s">
        <v>40</v>
      </c>
      <c r="B23" s="57" t="s">
        <v>649</v>
      </c>
    </row>
    <row r="24" spans="1:6" ht="12.75">
      <c r="A24" s="73" t="s">
        <v>76</v>
      </c>
      <c r="B24" s="67" t="s">
        <v>157</v>
      </c>
      <c r="C24" s="277" t="s">
        <v>540</v>
      </c>
      <c r="D24" s="69">
        <v>1</v>
      </c>
      <c r="E24" s="40"/>
      <c r="F24" s="28"/>
    </row>
    <row r="25" spans="1:6" ht="12.75">
      <c r="A25" s="73"/>
      <c r="B25" s="67"/>
      <c r="C25" s="277"/>
      <c r="D25" s="69"/>
      <c r="E25" s="40"/>
      <c r="F25" s="28"/>
    </row>
    <row r="26" spans="1:2" ht="16.5" customHeight="1">
      <c r="A26" s="58"/>
      <c r="B26" s="57" t="s">
        <v>566</v>
      </c>
    </row>
    <row r="27" spans="1:2" ht="16.5" customHeight="1">
      <c r="A27" s="278" t="s">
        <v>41</v>
      </c>
      <c r="B27" s="57" t="s">
        <v>650</v>
      </c>
    </row>
    <row r="28" spans="1:6" ht="12.75">
      <c r="A28" s="73" t="s">
        <v>76</v>
      </c>
      <c r="B28" s="67" t="s">
        <v>157</v>
      </c>
      <c r="C28" s="277" t="s">
        <v>540</v>
      </c>
      <c r="D28" s="69">
        <v>1</v>
      </c>
      <c r="E28" s="40"/>
      <c r="F28" s="28"/>
    </row>
    <row r="29" spans="1:2" ht="16.5" customHeight="1">
      <c r="A29" s="278" t="s">
        <v>42</v>
      </c>
      <c r="B29" s="57" t="s">
        <v>651</v>
      </c>
    </row>
    <row r="30" spans="1:6" ht="12.75">
      <c r="A30" s="73" t="s">
        <v>563</v>
      </c>
      <c r="B30" s="67" t="s">
        <v>564</v>
      </c>
      <c r="C30" s="277" t="s">
        <v>540</v>
      </c>
      <c r="D30" s="69">
        <v>4</v>
      </c>
      <c r="E30" s="40"/>
      <c r="F30" s="28"/>
    </row>
    <row r="31" spans="1:6" ht="12.75">
      <c r="A31" s="54"/>
      <c r="B31" s="44"/>
      <c r="C31" s="27"/>
      <c r="D31" s="69"/>
      <c r="E31" s="40"/>
      <c r="F31" s="28"/>
    </row>
    <row r="32" spans="1:2" ht="54.75" customHeight="1">
      <c r="A32" s="58">
        <f>A10+1</f>
        <v>702</v>
      </c>
      <c r="B32" s="57" t="s">
        <v>793</v>
      </c>
    </row>
    <row r="33" spans="1:2" ht="57" customHeight="1">
      <c r="A33" s="58"/>
      <c r="B33" s="57" t="s">
        <v>567</v>
      </c>
    </row>
    <row r="34" spans="1:2" ht="15" customHeight="1">
      <c r="A34" s="58"/>
      <c r="B34" s="57" t="s">
        <v>539</v>
      </c>
    </row>
    <row r="35" spans="1:2" ht="16.5" customHeight="1">
      <c r="A35" s="58"/>
      <c r="B35" s="57" t="s">
        <v>562</v>
      </c>
    </row>
    <row r="36" spans="1:2" ht="16.5" customHeight="1">
      <c r="A36" s="278" t="s">
        <v>39</v>
      </c>
      <c r="B36" s="57" t="s">
        <v>652</v>
      </c>
    </row>
    <row r="37" spans="1:6" ht="16.5" customHeight="1">
      <c r="A37" s="73" t="s">
        <v>19</v>
      </c>
      <c r="B37" s="67" t="s">
        <v>287</v>
      </c>
      <c r="C37" s="277" t="s">
        <v>540</v>
      </c>
      <c r="D37" s="69">
        <v>2</v>
      </c>
      <c r="E37" s="40"/>
      <c r="F37" s="28"/>
    </row>
    <row r="38" spans="1:6" ht="12.75">
      <c r="A38" s="73" t="s">
        <v>76</v>
      </c>
      <c r="B38" s="67" t="s">
        <v>157</v>
      </c>
      <c r="C38" s="277" t="s">
        <v>540</v>
      </c>
      <c r="D38" s="69">
        <v>2</v>
      </c>
      <c r="E38" s="40"/>
      <c r="F38" s="28"/>
    </row>
    <row r="39" spans="1:2" ht="8.25" customHeight="1">
      <c r="A39" s="54"/>
      <c r="B39" s="67"/>
    </row>
    <row r="40" spans="1:2" ht="16.5" customHeight="1">
      <c r="A40" s="278" t="s">
        <v>40</v>
      </c>
      <c r="B40" s="57" t="s">
        <v>653</v>
      </c>
    </row>
    <row r="41" spans="1:6" ht="12.75">
      <c r="A41" s="73" t="s">
        <v>76</v>
      </c>
      <c r="B41" s="67" t="s">
        <v>157</v>
      </c>
      <c r="C41" s="277" t="s">
        <v>540</v>
      </c>
      <c r="D41" s="69">
        <v>1</v>
      </c>
      <c r="E41" s="40"/>
      <c r="F41" s="28"/>
    </row>
    <row r="42" spans="1:2" ht="9" customHeight="1">
      <c r="A42" s="54"/>
      <c r="B42" s="67"/>
    </row>
    <row r="43" spans="1:2" ht="16.5" customHeight="1">
      <c r="A43" s="278" t="s">
        <v>41</v>
      </c>
      <c r="B43" s="57" t="s">
        <v>654</v>
      </c>
    </row>
    <row r="44" spans="1:6" ht="12.75">
      <c r="A44" s="73" t="s">
        <v>76</v>
      </c>
      <c r="B44" s="67" t="s">
        <v>157</v>
      </c>
      <c r="C44" s="277" t="s">
        <v>540</v>
      </c>
      <c r="D44" s="69">
        <v>1</v>
      </c>
      <c r="E44" s="40"/>
      <c r="F44" s="28"/>
    </row>
    <row r="45" spans="1:2" ht="12.75">
      <c r="A45" s="54"/>
      <c r="B45" s="67"/>
    </row>
    <row r="46" spans="1:2" ht="16.5" customHeight="1">
      <c r="A46" s="58"/>
      <c r="B46" s="57" t="s">
        <v>565</v>
      </c>
    </row>
    <row r="47" spans="1:2" ht="16.5" customHeight="1">
      <c r="A47" s="278" t="s">
        <v>39</v>
      </c>
      <c r="B47" s="57" t="s">
        <v>655</v>
      </c>
    </row>
    <row r="48" spans="1:6" ht="16.5" customHeight="1">
      <c r="A48" s="73" t="s">
        <v>19</v>
      </c>
      <c r="B48" s="67" t="s">
        <v>287</v>
      </c>
      <c r="C48" s="277" t="s">
        <v>540</v>
      </c>
      <c r="D48" s="69">
        <v>19</v>
      </c>
      <c r="E48" s="40"/>
      <c r="F48" s="28"/>
    </row>
    <row r="49" spans="1:6" ht="12.75">
      <c r="A49" s="73" t="s">
        <v>76</v>
      </c>
      <c r="B49" s="67" t="s">
        <v>157</v>
      </c>
      <c r="C49" s="277" t="s">
        <v>540</v>
      </c>
      <c r="D49" s="69">
        <v>56</v>
      </c>
      <c r="E49" s="40"/>
      <c r="F49" s="28"/>
    </row>
    <row r="50" spans="1:6" ht="12.75">
      <c r="A50" s="73" t="s">
        <v>563</v>
      </c>
      <c r="B50" s="67" t="s">
        <v>564</v>
      </c>
      <c r="C50" s="277" t="s">
        <v>540</v>
      </c>
      <c r="D50" s="69">
        <v>5</v>
      </c>
      <c r="E50" s="40"/>
      <c r="F50" s="28"/>
    </row>
    <row r="51" spans="1:2" ht="12.75">
      <c r="A51" s="54"/>
      <c r="B51" s="67"/>
    </row>
    <row r="52" spans="1:2" ht="16.5" customHeight="1">
      <c r="A52" s="278" t="s">
        <v>40</v>
      </c>
      <c r="B52" s="57" t="s">
        <v>656</v>
      </c>
    </row>
    <row r="53" spans="1:6" ht="12.75">
      <c r="A53" s="73" t="s">
        <v>76</v>
      </c>
      <c r="B53" s="67" t="s">
        <v>157</v>
      </c>
      <c r="C53" s="277" t="s">
        <v>540</v>
      </c>
      <c r="D53" s="69">
        <v>3</v>
      </c>
      <c r="E53" s="40"/>
      <c r="F53" s="28"/>
    </row>
    <row r="54" spans="1:6" ht="12.75">
      <c r="A54" s="73"/>
      <c r="B54" s="67"/>
      <c r="C54" s="277"/>
      <c r="D54" s="69"/>
      <c r="E54" s="40"/>
      <c r="F54" s="28"/>
    </row>
    <row r="55" spans="1:2" ht="16.5" customHeight="1">
      <c r="A55" s="278" t="s">
        <v>41</v>
      </c>
      <c r="B55" s="57" t="s">
        <v>657</v>
      </c>
    </row>
    <row r="56" spans="1:6" ht="16.5" customHeight="1">
      <c r="A56" s="73" t="s">
        <v>19</v>
      </c>
      <c r="B56" s="67" t="s">
        <v>287</v>
      </c>
      <c r="C56" s="277" t="s">
        <v>540</v>
      </c>
      <c r="D56" s="69">
        <v>1</v>
      </c>
      <c r="E56" s="40"/>
      <c r="F56" s="28"/>
    </row>
    <row r="57" spans="1:6" ht="16.5" customHeight="1">
      <c r="A57" s="73"/>
      <c r="B57" s="67"/>
      <c r="C57" s="277"/>
      <c r="D57" s="69"/>
      <c r="E57" s="40"/>
      <c r="F57" s="28"/>
    </row>
    <row r="58" spans="1:2" ht="16.5" customHeight="1">
      <c r="A58" s="278" t="s">
        <v>42</v>
      </c>
      <c r="B58" s="57" t="s">
        <v>658</v>
      </c>
    </row>
    <row r="59" spans="1:6" ht="16.5" customHeight="1">
      <c r="A59" s="73" t="s">
        <v>19</v>
      </c>
      <c r="B59" s="67" t="s">
        <v>157</v>
      </c>
      <c r="C59" s="277" t="s">
        <v>540</v>
      </c>
      <c r="D59" s="69">
        <v>4</v>
      </c>
      <c r="E59" s="40"/>
      <c r="F59" s="28"/>
    </row>
    <row r="60" spans="1:2" ht="12.75">
      <c r="A60" s="54"/>
      <c r="B60" s="67"/>
    </row>
    <row r="61" spans="1:2" ht="16.5" customHeight="1">
      <c r="A61" s="58"/>
      <c r="B61" s="7" t="s">
        <v>544</v>
      </c>
    </row>
    <row r="62" spans="1:2" ht="16.5" customHeight="1">
      <c r="A62" s="278" t="s">
        <v>43</v>
      </c>
      <c r="B62" s="57" t="s">
        <v>659</v>
      </c>
    </row>
    <row r="63" spans="1:6" ht="12.75">
      <c r="A63" s="73" t="s">
        <v>76</v>
      </c>
      <c r="B63" s="67" t="s">
        <v>157</v>
      </c>
      <c r="C63" s="277" t="s">
        <v>540</v>
      </c>
      <c r="D63" s="69">
        <v>5</v>
      </c>
      <c r="E63" s="40"/>
      <c r="F63" s="28"/>
    </row>
    <row r="64" spans="1:2" ht="12.75">
      <c r="A64" s="54"/>
      <c r="B64" s="67"/>
    </row>
    <row r="65" spans="1:2" ht="16.5" customHeight="1">
      <c r="A65" s="278" t="s">
        <v>45</v>
      </c>
      <c r="B65" s="57" t="s">
        <v>660</v>
      </c>
    </row>
    <row r="66" spans="1:6" ht="12.75">
      <c r="A66" s="73" t="s">
        <v>76</v>
      </c>
      <c r="B66" s="67" t="s">
        <v>157</v>
      </c>
      <c r="C66" s="277" t="s">
        <v>540</v>
      </c>
      <c r="D66" s="69">
        <v>1</v>
      </c>
      <c r="E66" s="40"/>
      <c r="F66" s="28"/>
    </row>
    <row r="67" spans="1:6" ht="12.75">
      <c r="A67" s="73" t="s">
        <v>563</v>
      </c>
      <c r="B67" s="67" t="s">
        <v>564</v>
      </c>
      <c r="C67" s="277" t="s">
        <v>540</v>
      </c>
      <c r="D67" s="69">
        <v>2</v>
      </c>
      <c r="E67" s="40"/>
      <c r="F67" s="28"/>
    </row>
    <row r="68" spans="1:2" ht="12.75">
      <c r="A68" s="54"/>
      <c r="B68" s="67"/>
    </row>
    <row r="69" spans="1:2" ht="16.5" customHeight="1">
      <c r="A69" s="278" t="s">
        <v>44</v>
      </c>
      <c r="B69" s="57" t="s">
        <v>661</v>
      </c>
    </row>
    <row r="70" spans="1:6" ht="12.75">
      <c r="A70" s="73" t="s">
        <v>76</v>
      </c>
      <c r="B70" s="67" t="s">
        <v>157</v>
      </c>
      <c r="C70" s="277" t="s">
        <v>540</v>
      </c>
      <c r="D70" s="69">
        <v>5</v>
      </c>
      <c r="E70" s="40"/>
      <c r="F70" s="28"/>
    </row>
    <row r="71" spans="1:6" ht="12.75">
      <c r="A71" s="73"/>
      <c r="B71" s="67"/>
      <c r="C71" s="277"/>
      <c r="D71" s="69"/>
      <c r="E71" s="40"/>
      <c r="F71" s="28"/>
    </row>
    <row r="72" spans="1:2" ht="16.5" customHeight="1">
      <c r="A72" s="278" t="s">
        <v>48</v>
      </c>
      <c r="B72" s="57" t="s">
        <v>662</v>
      </c>
    </row>
    <row r="73" spans="1:6" ht="16.5" customHeight="1">
      <c r="A73" s="73" t="s">
        <v>76</v>
      </c>
      <c r="B73" s="67" t="s">
        <v>157</v>
      </c>
      <c r="C73" s="277" t="s">
        <v>540</v>
      </c>
      <c r="D73" s="69">
        <v>2</v>
      </c>
      <c r="E73" s="40"/>
      <c r="F73" s="28"/>
    </row>
    <row r="74" spans="1:6" ht="10.5" customHeight="1">
      <c r="A74" s="73"/>
      <c r="B74" s="67"/>
      <c r="C74" s="277"/>
      <c r="D74" s="69"/>
      <c r="E74" s="40"/>
      <c r="F74" s="28"/>
    </row>
    <row r="75" spans="1:2" ht="16.5" customHeight="1">
      <c r="A75" s="278" t="s">
        <v>49</v>
      </c>
      <c r="B75" s="57" t="s">
        <v>663</v>
      </c>
    </row>
    <row r="76" spans="1:6" ht="16.5" customHeight="1">
      <c r="A76" s="73" t="s">
        <v>194</v>
      </c>
      <c r="B76" s="67" t="s">
        <v>564</v>
      </c>
      <c r="C76" s="277" t="s">
        <v>540</v>
      </c>
      <c r="D76" s="69">
        <v>2</v>
      </c>
      <c r="E76" s="40"/>
      <c r="F76" s="28"/>
    </row>
    <row r="77" spans="1:2" ht="12.75">
      <c r="A77" s="54"/>
      <c r="B77" s="67"/>
    </row>
    <row r="78" spans="1:2" ht="78.75" customHeight="1">
      <c r="A78" s="58">
        <f>A32+1</f>
        <v>703</v>
      </c>
      <c r="B78" s="57" t="s">
        <v>784</v>
      </c>
    </row>
    <row r="79" spans="1:2" ht="76.5">
      <c r="A79" s="58"/>
      <c r="B79" s="57" t="s">
        <v>1389</v>
      </c>
    </row>
    <row r="80" spans="1:2" ht="15" customHeight="1">
      <c r="A80" s="58"/>
      <c r="B80" s="57" t="s">
        <v>539</v>
      </c>
    </row>
    <row r="81" spans="1:2" ht="16.5" customHeight="1">
      <c r="A81" s="58"/>
      <c r="B81" s="57" t="s">
        <v>565</v>
      </c>
    </row>
    <row r="82" spans="1:2" ht="16.5" customHeight="1">
      <c r="A82" s="278" t="s">
        <v>39</v>
      </c>
      <c r="B82" s="57" t="s">
        <v>664</v>
      </c>
    </row>
    <row r="83" spans="1:6" ht="16.5" customHeight="1">
      <c r="A83" s="73" t="s">
        <v>19</v>
      </c>
      <c r="B83" s="67" t="s">
        <v>287</v>
      </c>
      <c r="C83" s="277" t="s">
        <v>540</v>
      </c>
      <c r="D83" s="69">
        <v>5</v>
      </c>
      <c r="E83" s="40"/>
      <c r="F83" s="28"/>
    </row>
    <row r="84" spans="1:2" ht="16.5" customHeight="1">
      <c r="A84" s="278" t="s">
        <v>40</v>
      </c>
      <c r="B84" s="57" t="s">
        <v>665</v>
      </c>
    </row>
    <row r="85" spans="1:6" ht="12.75">
      <c r="A85" s="73" t="s">
        <v>76</v>
      </c>
      <c r="B85" s="67" t="s">
        <v>157</v>
      </c>
      <c r="C85" s="277" t="s">
        <v>540</v>
      </c>
      <c r="D85" s="69">
        <v>35</v>
      </c>
      <c r="E85" s="40"/>
      <c r="F85" s="28"/>
    </row>
    <row r="86" spans="1:2" ht="8.25" customHeight="1">
      <c r="A86" s="54"/>
      <c r="B86" s="67"/>
    </row>
    <row r="87" spans="1:2" ht="15" customHeight="1">
      <c r="A87" s="54"/>
      <c r="B87" s="57" t="s">
        <v>544</v>
      </c>
    </row>
    <row r="88" spans="1:2" ht="16.5" customHeight="1">
      <c r="A88" s="278" t="s">
        <v>41</v>
      </c>
      <c r="B88" s="57" t="s">
        <v>666</v>
      </c>
    </row>
    <row r="89" spans="1:6" ht="12.75">
      <c r="A89" s="73" t="s">
        <v>76</v>
      </c>
      <c r="B89" s="67" t="s">
        <v>157</v>
      </c>
      <c r="C89" s="277" t="s">
        <v>540</v>
      </c>
      <c r="D89" s="69">
        <v>16</v>
      </c>
      <c r="E89" s="40"/>
      <c r="F89" s="28"/>
    </row>
    <row r="90" spans="1:6" ht="12.75">
      <c r="A90" s="73"/>
      <c r="B90" s="67"/>
      <c r="C90" s="277"/>
      <c r="D90" s="69"/>
      <c r="E90" s="40"/>
      <c r="F90" s="28"/>
    </row>
    <row r="91" spans="1:2" ht="127.5">
      <c r="A91" s="58">
        <f>A78+1</f>
        <v>704</v>
      </c>
      <c r="B91" s="70" t="s">
        <v>785</v>
      </c>
    </row>
    <row r="92" spans="1:2" ht="80.25" customHeight="1">
      <c r="A92" s="54"/>
      <c r="B92" s="145" t="s">
        <v>786</v>
      </c>
    </row>
    <row r="93" spans="1:2" ht="15" customHeight="1">
      <c r="A93" s="58"/>
      <c r="B93" s="57" t="s">
        <v>539</v>
      </c>
    </row>
    <row r="94" spans="1:2" ht="16.5" customHeight="1">
      <c r="A94" s="58"/>
      <c r="B94" s="57" t="s">
        <v>565</v>
      </c>
    </row>
    <row r="95" spans="1:2" ht="16.5" customHeight="1">
      <c r="A95" s="278" t="s">
        <v>39</v>
      </c>
      <c r="B95" s="7" t="s">
        <v>667</v>
      </c>
    </row>
    <row r="96" spans="1:6" ht="16.5" customHeight="1">
      <c r="A96" s="73" t="s">
        <v>19</v>
      </c>
      <c r="B96" s="67" t="s">
        <v>287</v>
      </c>
      <c r="C96" s="277" t="s">
        <v>540</v>
      </c>
      <c r="D96" s="69">
        <v>2</v>
      </c>
      <c r="E96" s="40"/>
      <c r="F96" s="28"/>
    </row>
    <row r="97" spans="1:2" ht="12.75">
      <c r="A97" s="54"/>
      <c r="B97" s="67"/>
    </row>
    <row r="98" spans="1:2" ht="16.5" customHeight="1">
      <c r="A98" s="278" t="s">
        <v>40</v>
      </c>
      <c r="B98" s="7" t="s">
        <v>668</v>
      </c>
    </row>
    <row r="99" spans="1:6" ht="16.5" customHeight="1">
      <c r="A99" s="73" t="s">
        <v>19</v>
      </c>
      <c r="B99" s="67" t="s">
        <v>287</v>
      </c>
      <c r="C99" s="277" t="s">
        <v>540</v>
      </c>
      <c r="D99" s="69">
        <v>1</v>
      </c>
      <c r="E99" s="40"/>
      <c r="F99" s="28"/>
    </row>
    <row r="100" spans="1:2" ht="12.75">
      <c r="A100" s="54"/>
      <c r="B100" s="67"/>
    </row>
    <row r="101" spans="1:2" ht="12.75">
      <c r="A101" s="54"/>
      <c r="B101" s="67" t="s">
        <v>568</v>
      </c>
    </row>
    <row r="102" spans="1:2" ht="120" customHeight="1">
      <c r="A102" s="58">
        <f>A91+1</f>
        <v>705</v>
      </c>
      <c r="B102" s="70" t="s">
        <v>569</v>
      </c>
    </row>
    <row r="103" spans="1:2" ht="56.25" customHeight="1">
      <c r="A103" s="54"/>
      <c r="B103" s="44" t="s">
        <v>570</v>
      </c>
    </row>
    <row r="104" spans="1:2" ht="93" customHeight="1">
      <c r="A104" s="54"/>
      <c r="B104" s="44" t="s">
        <v>571</v>
      </c>
    </row>
    <row r="105" spans="1:2" ht="15" customHeight="1">
      <c r="A105" s="58"/>
      <c r="B105" s="57" t="s">
        <v>539</v>
      </c>
    </row>
    <row r="106" spans="1:2" ht="16.5" customHeight="1">
      <c r="A106" s="58"/>
      <c r="B106" s="57" t="s">
        <v>565</v>
      </c>
    </row>
    <row r="107" spans="1:2" ht="16.5" customHeight="1">
      <c r="A107" s="278" t="s">
        <v>39</v>
      </c>
      <c r="B107" s="57" t="s">
        <v>669</v>
      </c>
    </row>
    <row r="108" spans="1:6" ht="16.5" customHeight="1">
      <c r="A108" s="73" t="s">
        <v>19</v>
      </c>
      <c r="B108" s="67" t="s">
        <v>287</v>
      </c>
      <c r="C108" s="277" t="s">
        <v>540</v>
      </c>
      <c r="D108" s="69">
        <v>1</v>
      </c>
      <c r="E108" s="40"/>
      <c r="F108" s="28"/>
    </row>
    <row r="109" spans="1:2" ht="12.75">
      <c r="A109" s="54"/>
      <c r="B109" s="67"/>
    </row>
    <row r="110" spans="1:2" ht="16.5" customHeight="1">
      <c r="A110" s="278" t="s">
        <v>40</v>
      </c>
      <c r="B110" s="57" t="s">
        <v>670</v>
      </c>
    </row>
    <row r="111" spans="1:6" ht="16.5" customHeight="1">
      <c r="A111" s="73" t="s">
        <v>19</v>
      </c>
      <c r="B111" s="67" t="s">
        <v>287</v>
      </c>
      <c r="C111" s="277" t="s">
        <v>540</v>
      </c>
      <c r="D111" s="69">
        <v>1</v>
      </c>
      <c r="E111" s="40"/>
      <c r="F111" s="28"/>
    </row>
    <row r="112" spans="1:6" ht="12" customHeight="1">
      <c r="A112" s="73"/>
      <c r="B112" s="67"/>
      <c r="C112" s="277"/>
      <c r="D112" s="69"/>
      <c r="E112" s="40"/>
      <c r="F112" s="28"/>
    </row>
    <row r="113" spans="1:6" ht="15.75" customHeight="1">
      <c r="A113" s="73"/>
      <c r="B113" s="67" t="s">
        <v>572</v>
      </c>
      <c r="C113" s="277"/>
      <c r="D113" s="69"/>
      <c r="E113" s="40"/>
      <c r="F113" s="28"/>
    </row>
    <row r="114" spans="1:6" ht="173.25" customHeight="1">
      <c r="A114" s="58">
        <f>A102+1</f>
        <v>706</v>
      </c>
      <c r="B114" s="44" t="s">
        <v>573</v>
      </c>
      <c r="C114" s="277"/>
      <c r="D114" s="69"/>
      <c r="E114" s="40"/>
      <c r="F114" s="28"/>
    </row>
    <row r="115" spans="1:6" ht="80.25" customHeight="1">
      <c r="A115" s="58"/>
      <c r="B115" s="44" t="s">
        <v>574</v>
      </c>
      <c r="C115" s="277"/>
      <c r="D115" s="69"/>
      <c r="E115" s="40"/>
      <c r="F115" s="28"/>
    </row>
    <row r="116" spans="1:2" ht="15" customHeight="1">
      <c r="A116" s="58"/>
      <c r="B116" s="57" t="s">
        <v>539</v>
      </c>
    </row>
    <row r="117" spans="1:2" ht="16.5" customHeight="1">
      <c r="A117" s="58"/>
      <c r="B117" s="57" t="s">
        <v>565</v>
      </c>
    </row>
    <row r="118" spans="1:2" ht="16.5" customHeight="1">
      <c r="A118" s="278"/>
      <c r="B118" s="57" t="s">
        <v>671</v>
      </c>
    </row>
    <row r="119" spans="1:6" ht="16.5" customHeight="1">
      <c r="A119" s="73" t="s">
        <v>19</v>
      </c>
      <c r="B119" s="67" t="s">
        <v>287</v>
      </c>
      <c r="C119" s="277" t="s">
        <v>540</v>
      </c>
      <c r="D119" s="69">
        <v>1</v>
      </c>
      <c r="E119" s="40"/>
      <c r="F119" s="28"/>
    </row>
    <row r="120" spans="1:6" ht="16.5" customHeight="1">
      <c r="A120" s="73"/>
      <c r="B120" s="67"/>
      <c r="C120" s="277"/>
      <c r="D120" s="69"/>
      <c r="E120" s="40"/>
      <c r="F120" s="28"/>
    </row>
    <row r="121" spans="1:6" ht="16.5" customHeight="1">
      <c r="A121" s="73"/>
      <c r="B121" s="67" t="s">
        <v>575</v>
      </c>
      <c r="C121" s="277"/>
      <c r="D121" s="69"/>
      <c r="E121" s="40"/>
      <c r="F121" s="28"/>
    </row>
    <row r="122" spans="1:6" ht="173.25" customHeight="1">
      <c r="A122" s="58">
        <f>A114+1</f>
        <v>707</v>
      </c>
      <c r="B122" s="44" t="s">
        <v>573</v>
      </c>
      <c r="C122" s="277"/>
      <c r="D122" s="69"/>
      <c r="E122" s="40"/>
      <c r="F122" s="28"/>
    </row>
    <row r="123" spans="1:6" ht="92.25" customHeight="1">
      <c r="A123" s="58"/>
      <c r="B123" s="44" t="s">
        <v>576</v>
      </c>
      <c r="C123" s="277"/>
      <c r="D123" s="69"/>
      <c r="E123" s="40"/>
      <c r="F123" s="28"/>
    </row>
    <row r="124" spans="1:2" ht="15" customHeight="1">
      <c r="A124" s="58"/>
      <c r="B124" s="57" t="s">
        <v>539</v>
      </c>
    </row>
    <row r="125" spans="1:2" ht="16.5" customHeight="1">
      <c r="A125" s="58"/>
      <c r="B125" s="57" t="s">
        <v>562</v>
      </c>
    </row>
    <row r="126" spans="1:2" ht="16.5" customHeight="1">
      <c r="A126" s="278" t="s">
        <v>39</v>
      </c>
      <c r="B126" s="57" t="s">
        <v>672</v>
      </c>
    </row>
    <row r="127" spans="1:6" ht="12.75">
      <c r="A127" s="73" t="s">
        <v>76</v>
      </c>
      <c r="B127" s="67" t="s">
        <v>157</v>
      </c>
      <c r="C127" s="277" t="s">
        <v>540</v>
      </c>
      <c r="D127" s="69">
        <v>1</v>
      </c>
      <c r="E127" s="40"/>
      <c r="F127" s="28"/>
    </row>
    <row r="128" spans="1:2" ht="16.5" customHeight="1">
      <c r="A128" s="278" t="s">
        <v>40</v>
      </c>
      <c r="B128" s="57" t="s">
        <v>673</v>
      </c>
    </row>
    <row r="129" spans="1:6" ht="12.75">
      <c r="A129" s="73" t="s">
        <v>76</v>
      </c>
      <c r="B129" s="67" t="s">
        <v>157</v>
      </c>
      <c r="C129" s="277" t="s">
        <v>540</v>
      </c>
      <c r="D129" s="69">
        <v>1</v>
      </c>
      <c r="E129" s="40"/>
      <c r="F129" s="28"/>
    </row>
    <row r="130" spans="1:6" ht="12" customHeight="1">
      <c r="A130" s="73"/>
      <c r="B130" s="67"/>
      <c r="C130" s="277"/>
      <c r="D130" s="69"/>
      <c r="E130" s="40"/>
      <c r="F130" s="28"/>
    </row>
    <row r="131" spans="1:2" ht="16.5" customHeight="1">
      <c r="A131" s="58"/>
      <c r="B131" s="57" t="s">
        <v>565</v>
      </c>
    </row>
    <row r="132" spans="1:2" ht="16.5" customHeight="1">
      <c r="A132" s="278" t="s">
        <v>41</v>
      </c>
      <c r="B132" s="57" t="s">
        <v>674</v>
      </c>
    </row>
    <row r="133" spans="1:6" ht="16.5" customHeight="1">
      <c r="A133" s="73" t="s">
        <v>19</v>
      </c>
      <c r="B133" s="67" t="s">
        <v>287</v>
      </c>
      <c r="C133" s="277" t="s">
        <v>540</v>
      </c>
      <c r="D133" s="69">
        <v>1</v>
      </c>
      <c r="E133" s="40"/>
      <c r="F133" s="28"/>
    </row>
    <row r="134" spans="1:2" ht="16.5" customHeight="1">
      <c r="A134" s="278" t="s">
        <v>42</v>
      </c>
      <c r="B134" s="57" t="s">
        <v>675</v>
      </c>
    </row>
    <row r="135" spans="1:6" ht="12.75">
      <c r="A135" s="73" t="s">
        <v>76</v>
      </c>
      <c r="B135" s="67" t="s">
        <v>157</v>
      </c>
      <c r="C135" s="277" t="s">
        <v>540</v>
      </c>
      <c r="D135" s="69">
        <v>1</v>
      </c>
      <c r="E135" s="40"/>
      <c r="F135" s="28"/>
    </row>
    <row r="136" spans="1:2" ht="16.5" customHeight="1">
      <c r="A136" s="278" t="s">
        <v>43</v>
      </c>
      <c r="B136" s="57" t="s">
        <v>676</v>
      </c>
    </row>
    <row r="137" spans="1:6" ht="12.75">
      <c r="A137" s="73" t="s">
        <v>76</v>
      </c>
      <c r="B137" s="67" t="s">
        <v>157</v>
      </c>
      <c r="C137" s="277" t="s">
        <v>540</v>
      </c>
      <c r="D137" s="69">
        <v>1</v>
      </c>
      <c r="E137" s="40"/>
      <c r="F137" s="28"/>
    </row>
    <row r="138" spans="1:6" ht="12.75">
      <c r="A138" s="73"/>
      <c r="B138" s="67"/>
      <c r="C138" s="277"/>
      <c r="D138" s="69"/>
      <c r="E138" s="40"/>
      <c r="F138" s="28"/>
    </row>
    <row r="139" spans="1:6" ht="107.25" customHeight="1">
      <c r="A139" s="58">
        <f>A122+1</f>
        <v>708</v>
      </c>
      <c r="B139" s="44" t="s">
        <v>577</v>
      </c>
      <c r="C139" s="277"/>
      <c r="D139" s="69"/>
      <c r="E139" s="40"/>
      <c r="F139" s="28"/>
    </row>
    <row r="140" spans="1:6" ht="146.25" customHeight="1">
      <c r="A140" s="73"/>
      <c r="B140" s="44" t="s">
        <v>578</v>
      </c>
      <c r="C140" s="277"/>
      <c r="D140" s="69"/>
      <c r="E140" s="40"/>
      <c r="F140" s="28"/>
    </row>
    <row r="141" spans="1:6" ht="35.25" customHeight="1">
      <c r="A141" s="73"/>
      <c r="B141" s="44" t="s">
        <v>579</v>
      </c>
      <c r="C141" s="277"/>
      <c r="D141" s="69"/>
      <c r="E141" s="40"/>
      <c r="F141" s="28"/>
    </row>
    <row r="142" spans="1:2" ht="15" customHeight="1">
      <c r="A142" s="58"/>
      <c r="B142" s="57" t="s">
        <v>539</v>
      </c>
    </row>
    <row r="143" spans="1:2" ht="16.5" customHeight="1">
      <c r="A143" s="58"/>
      <c r="B143" s="57" t="s">
        <v>562</v>
      </c>
    </row>
    <row r="144" spans="1:6" ht="12.75">
      <c r="A144" s="73"/>
      <c r="B144" s="57" t="s">
        <v>677</v>
      </c>
      <c r="C144" s="277"/>
      <c r="D144" s="69"/>
      <c r="E144" s="40"/>
      <c r="F144" s="28"/>
    </row>
    <row r="145" spans="1:6" ht="14.25" customHeight="1">
      <c r="A145" s="73" t="s">
        <v>19</v>
      </c>
      <c r="B145" s="67" t="s">
        <v>287</v>
      </c>
      <c r="C145" s="277" t="s">
        <v>540</v>
      </c>
      <c r="D145" s="69">
        <v>1</v>
      </c>
      <c r="E145" s="40"/>
      <c r="F145" s="28"/>
    </row>
    <row r="146" spans="1:6" ht="12.75">
      <c r="A146" s="73" t="s">
        <v>76</v>
      </c>
      <c r="B146" s="67" t="s">
        <v>157</v>
      </c>
      <c r="C146" s="277" t="s">
        <v>540</v>
      </c>
      <c r="D146" s="69">
        <v>1</v>
      </c>
      <c r="E146" s="40"/>
      <c r="F146" s="28"/>
    </row>
    <row r="147" spans="1:6" ht="12.75">
      <c r="A147" s="73" t="s">
        <v>194</v>
      </c>
      <c r="B147" s="67" t="s">
        <v>564</v>
      </c>
      <c r="C147" s="277" t="s">
        <v>540</v>
      </c>
      <c r="D147" s="69">
        <v>1</v>
      </c>
      <c r="E147" s="40"/>
      <c r="F147" s="28"/>
    </row>
    <row r="148" spans="1:6" ht="12.75">
      <c r="A148" s="73"/>
      <c r="B148" s="57"/>
      <c r="C148" s="277"/>
      <c r="D148" s="69"/>
      <c r="E148" s="40"/>
      <c r="F148" s="28"/>
    </row>
    <row r="149" spans="1:2" ht="12.75">
      <c r="A149" s="54"/>
      <c r="B149" s="67" t="s">
        <v>580</v>
      </c>
    </row>
    <row r="150" spans="1:2" ht="89.25">
      <c r="A150" s="54"/>
      <c r="B150" s="279" t="s">
        <v>1390</v>
      </c>
    </row>
    <row r="151" spans="1:6" ht="114.75">
      <c r="A151" s="58">
        <f>A139+1</f>
        <v>709</v>
      </c>
      <c r="B151" s="145" t="s">
        <v>581</v>
      </c>
      <c r="C151" s="277"/>
      <c r="D151" s="69"/>
      <c r="E151" s="40"/>
      <c r="F151" s="28"/>
    </row>
    <row r="152" spans="1:2" ht="102">
      <c r="A152" s="54"/>
      <c r="B152" s="145" t="s">
        <v>582</v>
      </c>
    </row>
    <row r="153" spans="1:2" ht="15" customHeight="1">
      <c r="A153" s="58"/>
      <c r="B153" s="57" t="s">
        <v>539</v>
      </c>
    </row>
    <row r="154" spans="1:2" ht="17.25" customHeight="1">
      <c r="A154" s="73" t="s">
        <v>19</v>
      </c>
      <c r="B154" s="67" t="s">
        <v>287</v>
      </c>
    </row>
    <row r="155" spans="1:2" ht="17.25" customHeight="1">
      <c r="A155" s="73"/>
      <c r="B155" s="44" t="s">
        <v>583</v>
      </c>
    </row>
    <row r="156" spans="1:6" ht="12.75">
      <c r="A156" s="278" t="s">
        <v>39</v>
      </c>
      <c r="B156" s="57" t="s">
        <v>678</v>
      </c>
      <c r="C156" s="277" t="s">
        <v>540</v>
      </c>
      <c r="D156" s="69">
        <v>1</v>
      </c>
      <c r="E156" s="40"/>
      <c r="F156" s="28"/>
    </row>
    <row r="157" spans="1:6" ht="12.75">
      <c r="A157" s="278" t="s">
        <v>40</v>
      </c>
      <c r="B157" s="57" t="s">
        <v>679</v>
      </c>
      <c r="C157" s="277" t="s">
        <v>540</v>
      </c>
      <c r="D157" s="69">
        <v>1</v>
      </c>
      <c r="E157" s="40"/>
      <c r="F157" s="28"/>
    </row>
    <row r="158" spans="1:6" ht="13.5">
      <c r="A158" s="278" t="s">
        <v>41</v>
      </c>
      <c r="B158" s="57" t="s">
        <v>680</v>
      </c>
      <c r="C158" s="277" t="s">
        <v>540</v>
      </c>
      <c r="D158" s="69">
        <v>1</v>
      </c>
      <c r="E158" s="40"/>
      <c r="F158" s="28"/>
    </row>
    <row r="159" spans="1:2" ht="12.75">
      <c r="A159" s="54"/>
      <c r="B159" s="67"/>
    </row>
    <row r="160" spans="1:2" ht="12.75">
      <c r="A160" s="73" t="s">
        <v>76</v>
      </c>
      <c r="B160" s="67" t="s">
        <v>157</v>
      </c>
    </row>
    <row r="161" spans="1:2" ht="17.25" customHeight="1">
      <c r="A161" s="73"/>
      <c r="B161" s="44" t="s">
        <v>584</v>
      </c>
    </row>
    <row r="162" spans="1:6" ht="12.75">
      <c r="A162" s="278" t="s">
        <v>42</v>
      </c>
      <c r="B162" s="57" t="s">
        <v>681</v>
      </c>
      <c r="C162" s="277" t="s">
        <v>540</v>
      </c>
      <c r="D162" s="69">
        <v>1</v>
      </c>
      <c r="E162" s="40"/>
      <c r="F162" s="28"/>
    </row>
    <row r="163" spans="1:6" ht="13.5">
      <c r="A163" s="278" t="s">
        <v>43</v>
      </c>
      <c r="B163" s="57" t="s">
        <v>682</v>
      </c>
      <c r="C163" s="277" t="s">
        <v>540</v>
      </c>
      <c r="D163" s="69">
        <v>1</v>
      </c>
      <c r="E163" s="40"/>
      <c r="F163" s="28"/>
    </row>
    <row r="164" spans="1:6" ht="29.25" customHeight="1">
      <c r="A164" s="278" t="s">
        <v>45</v>
      </c>
      <c r="B164" s="57" t="s">
        <v>683</v>
      </c>
      <c r="C164" s="277" t="s">
        <v>540</v>
      </c>
      <c r="D164" s="69">
        <v>1</v>
      </c>
      <c r="E164" s="40"/>
      <c r="F164" s="28"/>
    </row>
    <row r="165" spans="1:6" ht="15.75" customHeight="1">
      <c r="A165" s="278" t="s">
        <v>44</v>
      </c>
      <c r="B165" s="57" t="s">
        <v>684</v>
      </c>
      <c r="C165" s="277" t="s">
        <v>540</v>
      </c>
      <c r="D165" s="69">
        <v>1</v>
      </c>
      <c r="E165" s="40"/>
      <c r="F165" s="28"/>
    </row>
    <row r="166" spans="1:6" ht="16.5" customHeight="1">
      <c r="A166" s="278" t="s">
        <v>48</v>
      </c>
      <c r="B166" s="57" t="s">
        <v>685</v>
      </c>
      <c r="C166" s="277" t="s">
        <v>540</v>
      </c>
      <c r="D166" s="69">
        <v>1</v>
      </c>
      <c r="E166" s="40"/>
      <c r="F166" s="28"/>
    </row>
    <row r="167" spans="1:2" ht="17.25" customHeight="1">
      <c r="A167" s="73"/>
      <c r="B167" s="44" t="s">
        <v>583</v>
      </c>
    </row>
    <row r="168" spans="1:6" ht="12.75">
      <c r="A168" s="278" t="s">
        <v>49</v>
      </c>
      <c r="B168" s="57" t="s">
        <v>686</v>
      </c>
      <c r="C168" s="277" t="s">
        <v>540</v>
      </c>
      <c r="D168" s="69">
        <v>1</v>
      </c>
      <c r="E168" s="40"/>
      <c r="F168" s="28"/>
    </row>
    <row r="169" spans="1:6" ht="12.75">
      <c r="A169" s="278" t="s">
        <v>50</v>
      </c>
      <c r="B169" s="57" t="s">
        <v>687</v>
      </c>
      <c r="C169" s="277" t="s">
        <v>540</v>
      </c>
      <c r="D169" s="69">
        <v>2</v>
      </c>
      <c r="E169" s="40"/>
      <c r="F169" s="28"/>
    </row>
    <row r="170" spans="1:6" ht="12.75">
      <c r="A170" s="278" t="s">
        <v>51</v>
      </c>
      <c r="B170" s="57" t="s">
        <v>688</v>
      </c>
      <c r="C170" s="277" t="s">
        <v>540</v>
      </c>
      <c r="D170" s="69">
        <v>1</v>
      </c>
      <c r="E170" s="40"/>
      <c r="F170" s="28"/>
    </row>
    <row r="171" spans="1:6" ht="13.5">
      <c r="A171" s="278" t="s">
        <v>53</v>
      </c>
      <c r="B171" s="57" t="s">
        <v>689</v>
      </c>
      <c r="C171" s="277" t="s">
        <v>540</v>
      </c>
      <c r="D171" s="69">
        <v>1</v>
      </c>
      <c r="E171" s="40"/>
      <c r="F171" s="28"/>
    </row>
    <row r="172" spans="1:6" ht="12.75">
      <c r="A172" s="278" t="s">
        <v>93</v>
      </c>
      <c r="B172" s="57" t="s">
        <v>690</v>
      </c>
      <c r="C172" s="277" t="s">
        <v>540</v>
      </c>
      <c r="D172" s="69">
        <v>4</v>
      </c>
      <c r="E172" s="40"/>
      <c r="F172" s="28"/>
    </row>
    <row r="173" spans="1:4" ht="12.75">
      <c r="A173" s="54"/>
      <c r="B173" s="93"/>
      <c r="C173" s="27"/>
      <c r="D173" s="41"/>
    </row>
    <row r="174" spans="1:4" ht="12.75">
      <c r="A174" s="73" t="s">
        <v>194</v>
      </c>
      <c r="B174" s="67" t="s">
        <v>564</v>
      </c>
      <c r="C174" s="27"/>
      <c r="D174" s="72"/>
    </row>
    <row r="175" spans="1:2" ht="17.25" customHeight="1">
      <c r="A175" s="73"/>
      <c r="B175" s="44" t="s">
        <v>583</v>
      </c>
    </row>
    <row r="176" spans="1:6" ht="13.5">
      <c r="A176" s="278" t="s">
        <v>94</v>
      </c>
      <c r="B176" s="57" t="s">
        <v>691</v>
      </c>
      <c r="C176" s="277" t="s">
        <v>540</v>
      </c>
      <c r="D176" s="69">
        <v>1</v>
      </c>
      <c r="E176" s="40"/>
      <c r="F176" s="28"/>
    </row>
    <row r="177" spans="1:6" ht="13.5">
      <c r="A177" s="278" t="s">
        <v>165</v>
      </c>
      <c r="B177" s="57" t="s">
        <v>692</v>
      </c>
      <c r="C177" s="277" t="s">
        <v>540</v>
      </c>
      <c r="D177" s="69">
        <v>4</v>
      </c>
      <c r="E177" s="40"/>
      <c r="F177" s="28"/>
    </row>
    <row r="178" spans="1:6" ht="12.75">
      <c r="A178" s="278" t="s">
        <v>166</v>
      </c>
      <c r="B178" s="57" t="s">
        <v>693</v>
      </c>
      <c r="C178" s="277" t="s">
        <v>540</v>
      </c>
      <c r="D178" s="69">
        <v>1</v>
      </c>
      <c r="E178" s="40"/>
      <c r="F178" s="28"/>
    </row>
    <row r="179" spans="1:6" ht="12.75">
      <c r="A179" s="278" t="s">
        <v>237</v>
      </c>
      <c r="B179" s="7" t="s">
        <v>694</v>
      </c>
      <c r="C179" s="277" t="s">
        <v>540</v>
      </c>
      <c r="D179" s="69">
        <v>1</v>
      </c>
      <c r="E179" s="40"/>
      <c r="F179" s="28"/>
    </row>
    <row r="180" spans="1:6" ht="12.75">
      <c r="A180" s="278" t="s">
        <v>238</v>
      </c>
      <c r="B180" s="57" t="s">
        <v>695</v>
      </c>
      <c r="C180" s="277" t="s">
        <v>540</v>
      </c>
      <c r="D180" s="69">
        <v>1</v>
      </c>
      <c r="E180" s="40"/>
      <c r="F180" s="28"/>
    </row>
    <row r="181" spans="1:6" ht="12.75">
      <c r="A181" s="278" t="s">
        <v>254</v>
      </c>
      <c r="B181" s="57" t="s">
        <v>696</v>
      </c>
      <c r="C181" s="277" t="s">
        <v>540</v>
      </c>
      <c r="D181" s="69">
        <v>1</v>
      </c>
      <c r="E181" s="40"/>
      <c r="F181" s="28"/>
    </row>
    <row r="182" spans="1:2" ht="17.25" customHeight="1">
      <c r="A182" s="73"/>
      <c r="B182" s="44" t="s">
        <v>584</v>
      </c>
    </row>
    <row r="183" spans="1:6" ht="12.75">
      <c r="A183" s="278" t="s">
        <v>389</v>
      </c>
      <c r="B183" s="57" t="s">
        <v>697</v>
      </c>
      <c r="C183" s="277" t="s">
        <v>540</v>
      </c>
      <c r="D183" s="69">
        <v>1</v>
      </c>
      <c r="E183" s="40"/>
      <c r="F183" s="28"/>
    </row>
    <row r="184" spans="1:6" ht="12.75">
      <c r="A184" s="278" t="s">
        <v>585</v>
      </c>
      <c r="B184" s="57" t="s">
        <v>698</v>
      </c>
      <c r="C184" s="277" t="s">
        <v>540</v>
      </c>
      <c r="D184" s="69">
        <v>1</v>
      </c>
      <c r="E184" s="40"/>
      <c r="F184" s="28"/>
    </row>
    <row r="185" spans="1:6" ht="12.75">
      <c r="A185" s="278" t="s">
        <v>586</v>
      </c>
      <c r="B185" s="57" t="s">
        <v>699</v>
      </c>
      <c r="C185" s="277" t="s">
        <v>540</v>
      </c>
      <c r="D185" s="69">
        <v>1</v>
      </c>
      <c r="E185" s="40"/>
      <c r="F185" s="28"/>
    </row>
    <row r="186" spans="1:6" ht="12.75">
      <c r="A186" s="55"/>
      <c r="B186" s="29"/>
      <c r="C186" s="27"/>
      <c r="D186" s="69"/>
      <c r="E186" s="40"/>
      <c r="F186" s="28"/>
    </row>
    <row r="187" spans="1:6" ht="120" customHeight="1">
      <c r="A187" s="58">
        <f>A151+1</f>
        <v>710</v>
      </c>
      <c r="B187" s="44" t="s">
        <v>587</v>
      </c>
      <c r="C187" s="277"/>
      <c r="D187" s="69"/>
      <c r="E187" s="40"/>
      <c r="F187" s="28"/>
    </row>
    <row r="188" spans="1:6" ht="69" customHeight="1">
      <c r="A188" s="55"/>
      <c r="B188" s="39" t="s">
        <v>588</v>
      </c>
      <c r="C188" s="27"/>
      <c r="D188" s="27"/>
      <c r="E188" s="28"/>
      <c r="F188" s="28"/>
    </row>
    <row r="189" spans="1:2" ht="15" customHeight="1">
      <c r="A189" s="58"/>
      <c r="B189" s="57" t="s">
        <v>539</v>
      </c>
    </row>
    <row r="190" spans="1:2" ht="15" customHeight="1">
      <c r="A190" s="73" t="s">
        <v>76</v>
      </c>
      <c r="B190" s="67" t="s">
        <v>157</v>
      </c>
    </row>
    <row r="191" spans="1:6" ht="15" customHeight="1">
      <c r="A191" s="278" t="s">
        <v>39</v>
      </c>
      <c r="B191" s="7" t="s">
        <v>700</v>
      </c>
      <c r="C191" s="277" t="s">
        <v>540</v>
      </c>
      <c r="D191" s="69">
        <v>1</v>
      </c>
      <c r="E191" s="40"/>
      <c r="F191" s="28"/>
    </row>
    <row r="192" spans="1:6" ht="15" customHeight="1">
      <c r="A192" s="278" t="s">
        <v>40</v>
      </c>
      <c r="B192" s="7" t="s">
        <v>701</v>
      </c>
      <c r="C192" s="277" t="s">
        <v>540</v>
      </c>
      <c r="D192" s="69">
        <v>1</v>
      </c>
      <c r="E192" s="40"/>
      <c r="F192" s="28"/>
    </row>
    <row r="193" spans="1:6" s="41" customFormat="1" ht="12.75">
      <c r="A193" s="73" t="s">
        <v>194</v>
      </c>
      <c r="B193" s="67" t="s">
        <v>564</v>
      </c>
      <c r="C193" s="27"/>
      <c r="D193" s="27"/>
      <c r="E193" s="40"/>
      <c r="F193" s="28"/>
    </row>
    <row r="194" spans="1:6" ht="12.75">
      <c r="A194" s="278" t="s">
        <v>41</v>
      </c>
      <c r="B194" s="57" t="s">
        <v>702</v>
      </c>
      <c r="C194" s="277" t="s">
        <v>540</v>
      </c>
      <c r="D194" s="69">
        <v>1</v>
      </c>
      <c r="E194" s="40"/>
      <c r="F194" s="28"/>
    </row>
    <row r="195" spans="1:6" ht="13.5">
      <c r="A195" s="278" t="s">
        <v>42</v>
      </c>
      <c r="B195" s="7" t="s">
        <v>703</v>
      </c>
      <c r="C195" s="277" t="s">
        <v>540</v>
      </c>
      <c r="D195" s="69">
        <v>1</v>
      </c>
      <c r="E195" s="40"/>
      <c r="F195" s="28"/>
    </row>
    <row r="196" spans="1:6" ht="12.75">
      <c r="A196" s="278"/>
      <c r="B196" s="7"/>
      <c r="C196" s="277"/>
      <c r="D196" s="69"/>
      <c r="E196" s="40"/>
      <c r="F196" s="28"/>
    </row>
    <row r="197" spans="1:6" ht="14.25" customHeight="1">
      <c r="A197" s="278"/>
      <c r="B197" s="11" t="s">
        <v>589</v>
      </c>
      <c r="C197" s="277"/>
      <c r="D197" s="69"/>
      <c r="E197" s="40"/>
      <c r="F197" s="28"/>
    </row>
    <row r="198" spans="1:6" ht="76.5">
      <c r="A198" s="58">
        <f>A187+1</f>
        <v>711</v>
      </c>
      <c r="B198" s="145" t="s">
        <v>1391</v>
      </c>
      <c r="C198" s="277"/>
      <c r="D198" s="69"/>
      <c r="E198" s="40"/>
      <c r="F198" s="28"/>
    </row>
    <row r="199" spans="1:6" ht="89.25">
      <c r="A199" s="278"/>
      <c r="B199" s="7" t="s">
        <v>704</v>
      </c>
      <c r="C199" s="277"/>
      <c r="D199" s="69"/>
      <c r="E199" s="40"/>
      <c r="F199" s="28"/>
    </row>
    <row r="200" spans="1:2" ht="15" customHeight="1">
      <c r="A200" s="58"/>
      <c r="B200" s="57" t="s">
        <v>539</v>
      </c>
    </row>
    <row r="201" spans="1:2" ht="15" customHeight="1">
      <c r="A201" s="58"/>
      <c r="B201" s="57" t="s">
        <v>565</v>
      </c>
    </row>
    <row r="202" spans="1:6" ht="12.75">
      <c r="A202" s="73" t="s">
        <v>76</v>
      </c>
      <c r="B202" s="67" t="s">
        <v>157</v>
      </c>
      <c r="C202" s="277"/>
      <c r="D202" s="69"/>
      <c r="E202" s="40"/>
      <c r="F202" s="28"/>
    </row>
    <row r="203" spans="1:6" ht="13.5">
      <c r="A203" s="278" t="s">
        <v>39</v>
      </c>
      <c r="B203" s="57" t="s">
        <v>705</v>
      </c>
      <c r="C203" s="277" t="s">
        <v>540</v>
      </c>
      <c r="D203" s="69">
        <v>1</v>
      </c>
      <c r="E203" s="40"/>
      <c r="F203" s="28"/>
    </row>
    <row r="204" spans="1:6" ht="13.5">
      <c r="A204" s="278" t="s">
        <v>40</v>
      </c>
      <c r="B204" s="57" t="s">
        <v>706</v>
      </c>
      <c r="C204" s="277" t="s">
        <v>540</v>
      </c>
      <c r="D204" s="69">
        <v>2</v>
      </c>
      <c r="E204" s="40"/>
      <c r="F204" s="28"/>
    </row>
    <row r="205" spans="1:2" ht="15" customHeight="1">
      <c r="A205" s="58"/>
      <c r="B205" s="57" t="s">
        <v>566</v>
      </c>
    </row>
    <row r="206" spans="1:6" ht="12.75">
      <c r="A206" s="278" t="s">
        <v>41</v>
      </c>
      <c r="B206" s="57" t="s">
        <v>707</v>
      </c>
      <c r="C206" s="277" t="s">
        <v>540</v>
      </c>
      <c r="D206" s="69">
        <v>2</v>
      </c>
      <c r="E206" s="40"/>
      <c r="F206" s="28"/>
    </row>
    <row r="207" spans="1:6" ht="12.75">
      <c r="A207" s="278"/>
      <c r="B207" s="7"/>
      <c r="C207" s="277"/>
      <c r="D207" s="69"/>
      <c r="E207" s="40"/>
      <c r="F207" s="28"/>
    </row>
    <row r="208" spans="1:6" ht="127.5">
      <c r="A208" s="58">
        <f>A198+1</f>
        <v>712</v>
      </c>
      <c r="B208" s="44" t="s">
        <v>794</v>
      </c>
      <c r="C208" s="277"/>
      <c r="D208" s="69"/>
      <c r="E208" s="40"/>
      <c r="F208" s="28"/>
    </row>
    <row r="209" spans="1:6" ht="135" customHeight="1">
      <c r="A209" s="278"/>
      <c r="B209" s="280" t="s">
        <v>708</v>
      </c>
      <c r="C209" s="277"/>
      <c r="D209" s="69"/>
      <c r="E209" s="40"/>
      <c r="F209" s="28"/>
    </row>
    <row r="210" spans="1:6" ht="27.75" customHeight="1">
      <c r="A210" s="278"/>
      <c r="B210" s="7" t="s">
        <v>591</v>
      </c>
      <c r="C210" s="277"/>
      <c r="D210" s="69"/>
      <c r="E210" s="40"/>
      <c r="F210" s="28"/>
    </row>
    <row r="211" spans="1:2" ht="15" customHeight="1">
      <c r="A211" s="58"/>
      <c r="B211" s="57" t="s">
        <v>539</v>
      </c>
    </row>
    <row r="212" spans="1:6" ht="12.75">
      <c r="A212" s="73" t="s">
        <v>76</v>
      </c>
      <c r="B212" s="67" t="s">
        <v>157</v>
      </c>
      <c r="C212" s="277"/>
      <c r="D212" s="69"/>
      <c r="E212" s="40"/>
      <c r="F212" s="28"/>
    </row>
    <row r="213" spans="1:6" ht="13.5">
      <c r="A213" s="278" t="s">
        <v>39</v>
      </c>
      <c r="B213" s="57" t="s">
        <v>709</v>
      </c>
      <c r="C213" s="277" t="s">
        <v>540</v>
      </c>
      <c r="D213" s="69">
        <v>1</v>
      </c>
      <c r="E213" s="40"/>
      <c r="F213" s="28"/>
    </row>
    <row r="214" spans="1:6" ht="12.75">
      <c r="A214" s="278" t="s">
        <v>40</v>
      </c>
      <c r="B214" s="57" t="s">
        <v>710</v>
      </c>
      <c r="C214" s="277" t="s">
        <v>540</v>
      </c>
      <c r="D214" s="69">
        <v>1</v>
      </c>
      <c r="E214" s="40"/>
      <c r="F214" s="28"/>
    </row>
    <row r="215" spans="1:6" ht="13.5">
      <c r="A215" s="278" t="s">
        <v>41</v>
      </c>
      <c r="B215" s="57" t="s">
        <v>711</v>
      </c>
      <c r="C215" s="277" t="s">
        <v>540</v>
      </c>
      <c r="D215" s="69">
        <v>1</v>
      </c>
      <c r="E215" s="40"/>
      <c r="F215" s="28"/>
    </row>
    <row r="216" spans="1:6" ht="12.75">
      <c r="A216" s="278"/>
      <c r="B216" s="57"/>
      <c r="C216" s="277"/>
      <c r="D216" s="69"/>
      <c r="E216" s="40"/>
      <c r="F216" s="28"/>
    </row>
    <row r="217" spans="1:6" ht="12.75">
      <c r="A217" s="278"/>
      <c r="B217" s="11" t="s">
        <v>592</v>
      </c>
      <c r="C217" s="277"/>
      <c r="D217" s="69"/>
      <c r="E217" s="40"/>
      <c r="F217" s="28"/>
    </row>
    <row r="218" spans="1:6" ht="135" customHeight="1">
      <c r="A218" s="58">
        <f>A208+1</f>
        <v>713</v>
      </c>
      <c r="B218" s="44" t="s">
        <v>590</v>
      </c>
      <c r="C218" s="277"/>
      <c r="D218" s="69"/>
      <c r="E218" s="40"/>
      <c r="F218" s="28"/>
    </row>
    <row r="219" spans="1:6" ht="27.75" customHeight="1">
      <c r="A219" s="278"/>
      <c r="B219" s="7" t="s">
        <v>591</v>
      </c>
      <c r="C219" s="277"/>
      <c r="D219" s="69"/>
      <c r="E219" s="40"/>
      <c r="F219" s="28"/>
    </row>
    <row r="220" spans="1:2" ht="15" customHeight="1">
      <c r="A220" s="58"/>
      <c r="B220" s="57" t="s">
        <v>539</v>
      </c>
    </row>
    <row r="221" spans="1:2" ht="15" customHeight="1">
      <c r="A221" s="58"/>
      <c r="B221" s="57" t="s">
        <v>712</v>
      </c>
    </row>
    <row r="222" spans="1:6" ht="15" customHeight="1">
      <c r="A222" s="73" t="s">
        <v>19</v>
      </c>
      <c r="B222" s="67" t="s">
        <v>287</v>
      </c>
      <c r="C222" s="277" t="s">
        <v>540</v>
      </c>
      <c r="D222" s="69">
        <v>8</v>
      </c>
      <c r="E222" s="40"/>
      <c r="F222" s="28"/>
    </row>
    <row r="223" spans="1:6" ht="15" customHeight="1">
      <c r="A223" s="73" t="s">
        <v>76</v>
      </c>
      <c r="B223" s="67" t="s">
        <v>157</v>
      </c>
      <c r="C223" s="277" t="s">
        <v>540</v>
      </c>
      <c r="D223" s="69">
        <v>21</v>
      </c>
      <c r="E223" s="40"/>
      <c r="F223" s="28"/>
    </row>
    <row r="224" spans="1:6" ht="15" customHeight="1">
      <c r="A224" s="73" t="s">
        <v>194</v>
      </c>
      <c r="B224" s="67" t="s">
        <v>564</v>
      </c>
      <c r="C224" s="277" t="s">
        <v>540</v>
      </c>
      <c r="D224" s="69">
        <v>18</v>
      </c>
      <c r="E224" s="40"/>
      <c r="F224" s="28"/>
    </row>
    <row r="225" spans="1:6" ht="12.75">
      <c r="A225" s="278"/>
      <c r="B225" s="57"/>
      <c r="C225" s="277"/>
      <c r="D225" s="69"/>
      <c r="E225" s="40"/>
      <c r="F225" s="28"/>
    </row>
    <row r="226" spans="1:6" ht="12.75">
      <c r="A226" s="278"/>
      <c r="B226" s="11" t="s">
        <v>1297</v>
      </c>
      <c r="C226" s="277"/>
      <c r="D226" s="69"/>
      <c r="E226" s="40"/>
      <c r="F226" s="28"/>
    </row>
    <row r="227" spans="1:6" ht="78" customHeight="1">
      <c r="A227" s="58">
        <f>A218+1</f>
        <v>714</v>
      </c>
      <c r="B227" s="44" t="s">
        <v>1299</v>
      </c>
      <c r="C227" s="277"/>
      <c r="D227" s="69"/>
      <c r="E227" s="40"/>
      <c r="F227" s="28"/>
    </row>
    <row r="228" spans="1:6" ht="25.5">
      <c r="A228" s="278"/>
      <c r="B228" s="7" t="s">
        <v>1461</v>
      </c>
      <c r="C228" s="277"/>
      <c r="D228" s="69"/>
      <c r="E228" s="40"/>
      <c r="F228" s="28"/>
    </row>
    <row r="229" spans="1:6" ht="27.75" customHeight="1">
      <c r="A229" s="278"/>
      <c r="B229" s="7" t="s">
        <v>591</v>
      </c>
      <c r="C229" s="277"/>
      <c r="D229" s="69"/>
      <c r="E229" s="40"/>
      <c r="F229" s="28"/>
    </row>
    <row r="230" spans="1:2" ht="15" customHeight="1">
      <c r="A230" s="58"/>
      <c r="B230" s="57" t="s">
        <v>539</v>
      </c>
    </row>
    <row r="231" spans="1:2" ht="15" customHeight="1">
      <c r="A231" s="73" t="s">
        <v>19</v>
      </c>
      <c r="B231" s="67" t="s">
        <v>287</v>
      </c>
    </row>
    <row r="232" spans="1:6" ht="15" customHeight="1">
      <c r="A232" s="278" t="s">
        <v>39</v>
      </c>
      <c r="B232" s="57" t="s">
        <v>1300</v>
      </c>
      <c r="C232" s="277" t="s">
        <v>540</v>
      </c>
      <c r="D232" s="69">
        <v>1</v>
      </c>
      <c r="E232" s="40"/>
      <c r="F232" s="28"/>
    </row>
    <row r="233" spans="1:2" ht="15" customHeight="1">
      <c r="A233" s="73" t="s">
        <v>76</v>
      </c>
      <c r="B233" s="67" t="s">
        <v>157</v>
      </c>
    </row>
    <row r="234" spans="1:6" ht="15" customHeight="1">
      <c r="A234" s="278" t="s">
        <v>40</v>
      </c>
      <c r="B234" s="57" t="s">
        <v>1300</v>
      </c>
      <c r="C234" s="277" t="s">
        <v>540</v>
      </c>
      <c r="D234" s="69">
        <v>1</v>
      </c>
      <c r="E234" s="40"/>
      <c r="F234" s="28"/>
    </row>
    <row r="235" spans="1:2" ht="15" customHeight="1">
      <c r="A235" s="73" t="s">
        <v>194</v>
      </c>
      <c r="B235" s="67" t="s">
        <v>564</v>
      </c>
    </row>
    <row r="236" spans="1:6" ht="15" customHeight="1">
      <c r="A236" s="278" t="s">
        <v>41</v>
      </c>
      <c r="B236" s="57" t="s">
        <v>1301</v>
      </c>
      <c r="C236" s="277" t="s">
        <v>540</v>
      </c>
      <c r="D236" s="69">
        <v>1</v>
      </c>
      <c r="E236" s="40"/>
      <c r="F236" s="28"/>
    </row>
    <row r="237" spans="1:6" ht="12.75">
      <c r="A237" s="278"/>
      <c r="B237" s="57"/>
      <c r="C237" s="277"/>
      <c r="D237" s="69"/>
      <c r="E237" s="40"/>
      <c r="F237" s="28"/>
    </row>
    <row r="238" spans="1:6" ht="12.75">
      <c r="A238" s="278"/>
      <c r="B238" s="156" t="s">
        <v>593</v>
      </c>
      <c r="C238" s="277"/>
      <c r="D238" s="69"/>
      <c r="E238" s="40"/>
      <c r="F238" s="28"/>
    </row>
    <row r="239" spans="1:6" ht="12.75">
      <c r="A239" s="278"/>
      <c r="B239" s="156"/>
      <c r="C239" s="277"/>
      <c r="D239" s="69"/>
      <c r="E239" s="40"/>
      <c r="F239" s="28"/>
    </row>
    <row r="240" spans="1:6" ht="54" customHeight="1">
      <c r="A240" s="278"/>
      <c r="B240" s="336" t="s">
        <v>1392</v>
      </c>
      <c r="C240" s="277"/>
      <c r="D240" s="69"/>
      <c r="E240" s="40"/>
      <c r="F240" s="28"/>
    </row>
    <row r="241" spans="1:6" ht="12.75">
      <c r="A241" s="278"/>
      <c r="B241" s="57" t="s">
        <v>594</v>
      </c>
      <c r="C241" s="277"/>
      <c r="D241" s="69"/>
      <c r="E241" s="40"/>
      <c r="F241" s="28"/>
    </row>
    <row r="242" spans="1:6" ht="140.25">
      <c r="A242" s="58">
        <f>A227+1</f>
        <v>715</v>
      </c>
      <c r="B242" s="57" t="s">
        <v>1462</v>
      </c>
      <c r="C242" s="277"/>
      <c r="D242" s="69"/>
      <c r="E242" s="40"/>
      <c r="F242" s="28"/>
    </row>
    <row r="243" spans="1:6" ht="102">
      <c r="A243" s="278"/>
      <c r="B243" s="57" t="s">
        <v>1463</v>
      </c>
      <c r="C243" s="277"/>
      <c r="D243" s="69"/>
      <c r="E243" s="40"/>
      <c r="F243" s="28"/>
    </row>
    <row r="244" spans="1:6" ht="114.75">
      <c r="A244" s="278"/>
      <c r="B244" s="57" t="s">
        <v>1307</v>
      </c>
      <c r="C244" s="277"/>
      <c r="D244" s="69"/>
      <c r="E244" s="40"/>
      <c r="F244" s="28"/>
    </row>
    <row r="245" spans="1:6" ht="80.25" customHeight="1">
      <c r="A245" s="278"/>
      <c r="B245" s="57" t="s">
        <v>1464</v>
      </c>
      <c r="C245" s="277"/>
      <c r="D245" s="69"/>
      <c r="E245" s="40"/>
      <c r="F245" s="28"/>
    </row>
    <row r="246" spans="1:6" ht="26.25" customHeight="1">
      <c r="A246" s="278"/>
      <c r="B246" s="57" t="s">
        <v>595</v>
      </c>
      <c r="C246" s="277"/>
      <c r="D246" s="69"/>
      <c r="E246" s="40"/>
      <c r="F246" s="28"/>
    </row>
    <row r="247" spans="1:6" ht="31.5" customHeight="1">
      <c r="A247" s="278"/>
      <c r="B247" s="57" t="s">
        <v>596</v>
      </c>
      <c r="C247" s="277"/>
      <c r="D247" s="69"/>
      <c r="E247" s="40"/>
      <c r="F247" s="28"/>
    </row>
    <row r="248" spans="1:2" ht="15" customHeight="1">
      <c r="A248" s="58"/>
      <c r="B248" s="57" t="s">
        <v>539</v>
      </c>
    </row>
    <row r="249" spans="1:6" ht="12.75">
      <c r="A249" s="73" t="s">
        <v>76</v>
      </c>
      <c r="B249" s="67" t="s">
        <v>157</v>
      </c>
      <c r="C249" s="277"/>
      <c r="D249" s="69"/>
      <c r="E249" s="40"/>
      <c r="F249" s="28"/>
    </row>
    <row r="250" spans="1:6" ht="15" customHeight="1">
      <c r="A250" s="278" t="s">
        <v>39</v>
      </c>
      <c r="B250" s="57" t="s">
        <v>713</v>
      </c>
      <c r="C250" s="277" t="s">
        <v>540</v>
      </c>
      <c r="D250" s="69">
        <v>1</v>
      </c>
      <c r="E250" s="40"/>
      <c r="F250" s="28"/>
    </row>
    <row r="251" spans="1:6" ht="15" customHeight="1">
      <c r="A251" s="73" t="s">
        <v>194</v>
      </c>
      <c r="B251" s="67" t="s">
        <v>564</v>
      </c>
      <c r="C251" s="277"/>
      <c r="D251" s="69"/>
      <c r="E251" s="40"/>
      <c r="F251" s="28"/>
    </row>
    <row r="252" spans="1:6" ht="15" customHeight="1">
      <c r="A252" s="278" t="s">
        <v>40</v>
      </c>
      <c r="B252" s="7" t="s">
        <v>1393</v>
      </c>
      <c r="C252" s="277" t="s">
        <v>540</v>
      </c>
      <c r="D252" s="69">
        <v>1</v>
      </c>
      <c r="E252" s="40"/>
      <c r="F252" s="28"/>
    </row>
    <row r="253" spans="1:6" ht="15" customHeight="1">
      <c r="A253" s="278" t="s">
        <v>41</v>
      </c>
      <c r="B253" s="7" t="s">
        <v>1394</v>
      </c>
      <c r="C253" s="277" t="s">
        <v>540</v>
      </c>
      <c r="D253" s="69">
        <v>1</v>
      </c>
      <c r="E253" s="40"/>
      <c r="F253" s="28"/>
    </row>
    <row r="254" spans="1:6" ht="27.75" customHeight="1">
      <c r="A254" s="278" t="s">
        <v>42</v>
      </c>
      <c r="B254" s="280" t="s">
        <v>1395</v>
      </c>
      <c r="C254" s="277" t="s">
        <v>540</v>
      </c>
      <c r="D254" s="69">
        <v>1</v>
      </c>
      <c r="E254" s="40"/>
      <c r="F254" s="28"/>
    </row>
    <row r="255" spans="1:6" ht="147" customHeight="1">
      <c r="A255" s="58">
        <f>A242+1</f>
        <v>716</v>
      </c>
      <c r="B255" s="57" t="s">
        <v>1465</v>
      </c>
      <c r="C255" s="277"/>
      <c r="D255" s="69"/>
      <c r="E255" s="40"/>
      <c r="F255" s="28"/>
    </row>
    <row r="256" spans="1:6" ht="51">
      <c r="A256" s="278"/>
      <c r="B256" s="57" t="s">
        <v>1466</v>
      </c>
      <c r="C256" s="277"/>
      <c r="D256" s="69"/>
      <c r="E256" s="40"/>
      <c r="F256" s="28"/>
    </row>
    <row r="257" spans="1:6" ht="114.75">
      <c r="A257" s="278"/>
      <c r="B257" s="57" t="s">
        <v>1307</v>
      </c>
      <c r="C257" s="277"/>
      <c r="D257" s="69"/>
      <c r="E257" s="40"/>
      <c r="F257" s="28"/>
    </row>
    <row r="258" spans="1:6" ht="63.75">
      <c r="A258" s="278"/>
      <c r="B258" s="57" t="s">
        <v>796</v>
      </c>
      <c r="C258" s="277"/>
      <c r="D258" s="69"/>
      <c r="E258" s="40"/>
      <c r="F258" s="28"/>
    </row>
    <row r="259" spans="1:6" ht="25.5">
      <c r="A259" s="278"/>
      <c r="B259" s="57" t="s">
        <v>795</v>
      </c>
      <c r="C259" s="277"/>
      <c r="D259" s="69"/>
      <c r="E259" s="40"/>
      <c r="F259" s="28"/>
    </row>
    <row r="260" spans="1:2" ht="15" customHeight="1">
      <c r="A260" s="58"/>
      <c r="B260" s="57" t="s">
        <v>539</v>
      </c>
    </row>
    <row r="261" spans="1:6" ht="12.75">
      <c r="A261" s="73" t="s">
        <v>76</v>
      </c>
      <c r="B261" s="67" t="s">
        <v>157</v>
      </c>
      <c r="C261" s="277"/>
      <c r="D261" s="69"/>
      <c r="E261" s="40"/>
      <c r="F261" s="28"/>
    </row>
    <row r="262" spans="1:6" ht="15" customHeight="1">
      <c r="A262" s="278"/>
      <c r="B262" s="57" t="s">
        <v>714</v>
      </c>
      <c r="C262" s="277" t="s">
        <v>540</v>
      </c>
      <c r="D262" s="69">
        <v>1</v>
      </c>
      <c r="E262" s="40"/>
      <c r="F262" s="28"/>
    </row>
    <row r="263" spans="1:6" ht="15" customHeight="1">
      <c r="A263" s="73" t="s">
        <v>194</v>
      </c>
      <c r="B263" s="67" t="s">
        <v>564</v>
      </c>
      <c r="C263" s="277"/>
      <c r="D263" s="69"/>
      <c r="E263" s="40"/>
      <c r="F263" s="28"/>
    </row>
    <row r="264" spans="1:6" ht="15" customHeight="1">
      <c r="A264" s="278" t="s">
        <v>39</v>
      </c>
      <c r="B264" s="7" t="s">
        <v>1396</v>
      </c>
      <c r="C264" s="277" t="s">
        <v>540</v>
      </c>
      <c r="D264" s="69">
        <v>3</v>
      </c>
      <c r="E264" s="40"/>
      <c r="F264" s="28"/>
    </row>
    <row r="265" spans="1:6" ht="15" customHeight="1">
      <c r="A265" s="278" t="s">
        <v>40</v>
      </c>
      <c r="B265" s="7" t="s">
        <v>1397</v>
      </c>
      <c r="C265" s="277" t="s">
        <v>540</v>
      </c>
      <c r="D265" s="69">
        <v>3</v>
      </c>
      <c r="E265" s="40"/>
      <c r="F265" s="28"/>
    </row>
    <row r="266" spans="1:6" ht="15" customHeight="1">
      <c r="A266" s="278" t="s">
        <v>41</v>
      </c>
      <c r="B266" s="7" t="s">
        <v>1398</v>
      </c>
      <c r="C266" s="277" t="s">
        <v>540</v>
      </c>
      <c r="D266" s="69">
        <v>17</v>
      </c>
      <c r="E266" s="40"/>
      <c r="F266" s="28"/>
    </row>
    <row r="267" spans="1:6" ht="15" customHeight="1">
      <c r="A267" s="278" t="s">
        <v>42</v>
      </c>
      <c r="B267" s="7" t="s">
        <v>1399</v>
      </c>
      <c r="C267" s="277" t="s">
        <v>540</v>
      </c>
      <c r="D267" s="69">
        <v>21</v>
      </c>
      <c r="E267" s="40"/>
      <c r="F267" s="28"/>
    </row>
    <row r="268" spans="1:6" ht="15" customHeight="1">
      <c r="A268" s="278" t="s">
        <v>43</v>
      </c>
      <c r="B268" s="7" t="s">
        <v>1400</v>
      </c>
      <c r="C268" s="277" t="s">
        <v>540</v>
      </c>
      <c r="D268" s="69">
        <v>7</v>
      </c>
      <c r="E268" s="40"/>
      <c r="F268" s="28"/>
    </row>
    <row r="269" spans="1:6" ht="15" customHeight="1">
      <c r="A269" s="278" t="s">
        <v>45</v>
      </c>
      <c r="B269" s="7" t="s">
        <v>1401</v>
      </c>
      <c r="C269" s="277" t="s">
        <v>540</v>
      </c>
      <c r="D269" s="69">
        <v>6</v>
      </c>
      <c r="E269" s="40"/>
      <c r="F269" s="28"/>
    </row>
    <row r="270" spans="1:6" ht="15" customHeight="1">
      <c r="A270" s="278" t="s">
        <v>44</v>
      </c>
      <c r="B270" s="7" t="s">
        <v>1402</v>
      </c>
      <c r="C270" s="277" t="s">
        <v>540</v>
      </c>
      <c r="D270" s="69">
        <v>1</v>
      </c>
      <c r="E270" s="40"/>
      <c r="F270" s="28"/>
    </row>
    <row r="271" spans="1:6" ht="15" customHeight="1">
      <c r="A271" s="278" t="s">
        <v>48</v>
      </c>
      <c r="B271" s="7" t="s">
        <v>1403</v>
      </c>
      <c r="C271" s="277" t="s">
        <v>540</v>
      </c>
      <c r="D271" s="69">
        <v>1</v>
      </c>
      <c r="E271" s="40"/>
      <c r="F271" s="28"/>
    </row>
    <row r="272" spans="1:6" ht="15" customHeight="1">
      <c r="A272" s="278" t="s">
        <v>49</v>
      </c>
      <c r="B272" s="7" t="s">
        <v>1404</v>
      </c>
      <c r="C272" s="277" t="s">
        <v>540</v>
      </c>
      <c r="D272" s="69">
        <v>1</v>
      </c>
      <c r="E272" s="40"/>
      <c r="F272" s="28"/>
    </row>
    <row r="273" spans="1:6" ht="15" customHeight="1">
      <c r="A273" s="278" t="s">
        <v>50</v>
      </c>
      <c r="B273" s="7" t="s">
        <v>1405</v>
      </c>
      <c r="C273" s="277" t="s">
        <v>540</v>
      </c>
      <c r="D273" s="69">
        <v>1</v>
      </c>
      <c r="E273" s="40"/>
      <c r="F273" s="28"/>
    </row>
    <row r="274" spans="1:6" ht="15" customHeight="1">
      <c r="A274" s="278" t="s">
        <v>51</v>
      </c>
      <c r="B274" s="7" t="s">
        <v>1406</v>
      </c>
      <c r="C274" s="277" t="s">
        <v>540</v>
      </c>
      <c r="D274" s="69">
        <v>11</v>
      </c>
      <c r="E274" s="40"/>
      <c r="F274" s="28"/>
    </row>
    <row r="275" spans="1:6" ht="15" customHeight="1">
      <c r="A275" s="278" t="s">
        <v>53</v>
      </c>
      <c r="B275" s="7" t="s">
        <v>1407</v>
      </c>
      <c r="C275" s="277" t="s">
        <v>540</v>
      </c>
      <c r="D275" s="69">
        <v>1</v>
      </c>
      <c r="E275" s="40"/>
      <c r="F275" s="28"/>
    </row>
    <row r="277" spans="1:6" ht="120" customHeight="1">
      <c r="A277" s="58">
        <f>A255+1</f>
        <v>717</v>
      </c>
      <c r="B277" s="7" t="s">
        <v>1467</v>
      </c>
      <c r="C277" s="277"/>
      <c r="D277" s="69"/>
      <c r="E277" s="40"/>
      <c r="F277" s="28"/>
    </row>
    <row r="278" spans="1:6" ht="89.25">
      <c r="A278" s="278"/>
      <c r="B278" s="7" t="s">
        <v>1468</v>
      </c>
      <c r="C278" s="277"/>
      <c r="D278" s="69"/>
      <c r="E278" s="40"/>
      <c r="F278" s="28"/>
    </row>
    <row r="279" spans="1:6" ht="54" customHeight="1">
      <c r="A279" s="278"/>
      <c r="B279" s="297" t="s">
        <v>1314</v>
      </c>
      <c r="C279" s="277"/>
      <c r="D279" s="69"/>
      <c r="E279" s="40"/>
      <c r="F279" s="28"/>
    </row>
    <row r="280" spans="1:6" ht="83.25" customHeight="1">
      <c r="A280" s="278"/>
      <c r="B280" s="7" t="s">
        <v>1315</v>
      </c>
      <c r="C280" s="277"/>
      <c r="D280" s="69"/>
      <c r="E280" s="40"/>
      <c r="F280" s="28"/>
    </row>
    <row r="281" spans="1:6" ht="66.75" customHeight="1">
      <c r="A281" s="278"/>
      <c r="B281" s="7" t="s">
        <v>1316</v>
      </c>
      <c r="C281" s="277"/>
      <c r="D281" s="69"/>
      <c r="E281" s="40"/>
      <c r="F281" s="28"/>
    </row>
    <row r="282" spans="1:6" ht="25.5">
      <c r="A282" s="278"/>
      <c r="B282" s="7" t="s">
        <v>795</v>
      </c>
      <c r="C282" s="277"/>
      <c r="D282" s="69"/>
      <c r="E282" s="40"/>
      <c r="F282" s="28"/>
    </row>
    <row r="283" spans="1:2" ht="15" customHeight="1">
      <c r="A283" s="58"/>
      <c r="B283" s="7" t="s">
        <v>539</v>
      </c>
    </row>
    <row r="284" spans="1:6" ht="15" customHeight="1">
      <c r="A284" s="73" t="s">
        <v>194</v>
      </c>
      <c r="B284" s="67" t="s">
        <v>564</v>
      </c>
      <c r="C284" s="277"/>
      <c r="D284" s="69"/>
      <c r="E284" s="40"/>
      <c r="F284" s="28"/>
    </row>
    <row r="285" spans="1:6" ht="15" customHeight="1">
      <c r="A285" s="278" t="s">
        <v>39</v>
      </c>
      <c r="B285" s="7" t="s">
        <v>1408</v>
      </c>
      <c r="C285" s="277" t="s">
        <v>540</v>
      </c>
      <c r="D285" s="69">
        <v>2</v>
      </c>
      <c r="E285" s="40"/>
      <c r="F285" s="28"/>
    </row>
    <row r="286" spans="1:6" ht="15" customHeight="1">
      <c r="A286" s="278" t="s">
        <v>40</v>
      </c>
      <c r="B286" s="7" t="s">
        <v>1409</v>
      </c>
      <c r="C286" s="277" t="s">
        <v>540</v>
      </c>
      <c r="D286" s="69">
        <v>4</v>
      </c>
      <c r="E286" s="40"/>
      <c r="F286" s="28"/>
    </row>
    <row r="287" spans="1:6" ht="15" customHeight="1">
      <c r="A287" s="278" t="s">
        <v>41</v>
      </c>
      <c r="B287" s="7" t="s">
        <v>1410</v>
      </c>
      <c r="C287" s="277" t="s">
        <v>540</v>
      </c>
      <c r="D287" s="69">
        <v>2</v>
      </c>
      <c r="E287" s="40"/>
      <c r="F287" s="28"/>
    </row>
    <row r="288" spans="1:6" ht="15" customHeight="1">
      <c r="A288" s="278" t="s">
        <v>42</v>
      </c>
      <c r="B288" s="7" t="s">
        <v>1411</v>
      </c>
      <c r="C288" s="277" t="s">
        <v>540</v>
      </c>
      <c r="D288" s="69">
        <v>6</v>
      </c>
      <c r="E288" s="40"/>
      <c r="F288" s="28"/>
    </row>
    <row r="289" spans="1:6" ht="15" customHeight="1">
      <c r="A289" s="278" t="s">
        <v>43</v>
      </c>
      <c r="B289" s="7" t="s">
        <v>1412</v>
      </c>
      <c r="C289" s="277" t="s">
        <v>540</v>
      </c>
      <c r="D289" s="69">
        <v>6</v>
      </c>
      <c r="E289" s="40"/>
      <c r="F289" s="28"/>
    </row>
    <row r="290" spans="1:6" ht="15" customHeight="1">
      <c r="A290" s="278" t="s">
        <v>45</v>
      </c>
      <c r="B290" s="7" t="s">
        <v>1413</v>
      </c>
      <c r="C290" s="277" t="s">
        <v>540</v>
      </c>
      <c r="D290" s="69">
        <v>2</v>
      </c>
      <c r="E290" s="40"/>
      <c r="F290" s="28"/>
    </row>
    <row r="291" spans="1:6" ht="15" customHeight="1">
      <c r="A291" s="278" t="s">
        <v>44</v>
      </c>
      <c r="B291" s="7" t="s">
        <v>1414</v>
      </c>
      <c r="C291" s="277" t="s">
        <v>540</v>
      </c>
      <c r="D291" s="69">
        <v>1</v>
      </c>
      <c r="E291" s="40"/>
      <c r="F291" s="28"/>
    </row>
    <row r="292" spans="1:6" ht="15" customHeight="1">
      <c r="A292" s="278"/>
      <c r="B292" s="7"/>
      <c r="C292" s="277"/>
      <c r="D292" s="69"/>
      <c r="E292" s="40"/>
      <c r="F292" s="28"/>
    </row>
    <row r="293" spans="1:6" ht="94.5" customHeight="1">
      <c r="A293" s="58">
        <f>A277+1</f>
        <v>718</v>
      </c>
      <c r="B293" s="57" t="s">
        <v>597</v>
      </c>
      <c r="C293" s="277"/>
      <c r="D293" s="69"/>
      <c r="E293" s="40"/>
      <c r="F293" s="28"/>
    </row>
    <row r="294" spans="1:6" ht="69.75" customHeight="1">
      <c r="A294" s="278"/>
      <c r="B294" s="57" t="s">
        <v>598</v>
      </c>
      <c r="C294" s="277"/>
      <c r="D294" s="69"/>
      <c r="E294" s="40"/>
      <c r="F294" s="28"/>
    </row>
    <row r="295" spans="1:6" ht="96" customHeight="1">
      <c r="A295" s="278"/>
      <c r="B295" s="70" t="s">
        <v>1298</v>
      </c>
      <c r="C295" s="277"/>
      <c r="D295" s="69"/>
      <c r="E295" s="40"/>
      <c r="F295" s="28"/>
    </row>
    <row r="296" spans="1:6" ht="27" customHeight="1">
      <c r="A296" s="278"/>
      <c r="B296" s="57" t="s">
        <v>599</v>
      </c>
      <c r="C296" s="277"/>
      <c r="D296" s="69"/>
      <c r="E296" s="40"/>
      <c r="F296" s="28"/>
    </row>
    <row r="297" spans="1:6" ht="27.75" customHeight="1">
      <c r="A297" s="278"/>
      <c r="B297" s="57" t="s">
        <v>596</v>
      </c>
      <c r="C297" s="277"/>
      <c r="D297" s="69"/>
      <c r="E297" s="40"/>
      <c r="F297" s="28"/>
    </row>
    <row r="298" spans="1:2" ht="15" customHeight="1">
      <c r="A298" s="58"/>
      <c r="B298" s="57" t="s">
        <v>539</v>
      </c>
    </row>
    <row r="299" spans="1:6" ht="12" customHeight="1">
      <c r="A299" s="73" t="s">
        <v>76</v>
      </c>
      <c r="B299" s="67" t="s">
        <v>157</v>
      </c>
      <c r="D299" s="69"/>
      <c r="E299" s="40"/>
      <c r="F299" s="28"/>
    </row>
    <row r="300" spans="1:6" ht="12.75">
      <c r="A300" s="278"/>
      <c r="B300" s="281" t="s">
        <v>600</v>
      </c>
      <c r="C300" s="277"/>
      <c r="D300" s="69"/>
      <c r="E300" s="40"/>
      <c r="F300" s="28"/>
    </row>
    <row r="301" spans="1:6" ht="15" customHeight="1">
      <c r="A301" s="278" t="s">
        <v>39</v>
      </c>
      <c r="B301" s="57" t="s">
        <v>715</v>
      </c>
      <c r="C301" s="277" t="s">
        <v>540</v>
      </c>
      <c r="D301" s="69">
        <v>1</v>
      </c>
      <c r="E301" s="40"/>
      <c r="F301" s="28"/>
    </row>
    <row r="302" spans="1:6" ht="29.25" customHeight="1">
      <c r="A302" s="278" t="s">
        <v>40</v>
      </c>
      <c r="B302" s="70" t="s">
        <v>716</v>
      </c>
      <c r="C302" s="277" t="s">
        <v>540</v>
      </c>
      <c r="D302" s="69">
        <v>1</v>
      </c>
      <c r="E302" s="40"/>
      <c r="F302" s="28"/>
    </row>
    <row r="303" spans="1:6" ht="12.75">
      <c r="A303" s="278"/>
      <c r="B303" s="281" t="s">
        <v>601</v>
      </c>
      <c r="C303" s="277"/>
      <c r="D303" s="69"/>
      <c r="E303" s="40"/>
      <c r="F303" s="28"/>
    </row>
    <row r="304" spans="1:6" ht="15" customHeight="1">
      <c r="A304" s="278" t="s">
        <v>41</v>
      </c>
      <c r="B304" s="57" t="s">
        <v>717</v>
      </c>
      <c r="C304" s="277" t="s">
        <v>540</v>
      </c>
      <c r="D304" s="69">
        <v>1</v>
      </c>
      <c r="E304" s="40"/>
      <c r="F304" s="28"/>
    </row>
    <row r="305" spans="1:6" ht="12.75">
      <c r="A305" s="278"/>
      <c r="B305" s="57"/>
      <c r="C305" s="277"/>
      <c r="D305" s="69"/>
      <c r="E305" s="40"/>
      <c r="F305" s="28"/>
    </row>
    <row r="306" spans="1:6" ht="52.5" customHeight="1">
      <c r="A306" s="58">
        <f>A293+1</f>
        <v>719</v>
      </c>
      <c r="B306" s="57" t="s">
        <v>602</v>
      </c>
      <c r="C306" s="277"/>
      <c r="D306" s="69"/>
      <c r="E306" s="40"/>
      <c r="F306" s="28"/>
    </row>
    <row r="307" spans="1:6" ht="69" customHeight="1">
      <c r="A307" s="278"/>
      <c r="B307" s="57" t="s">
        <v>603</v>
      </c>
      <c r="C307" s="277"/>
      <c r="D307" s="69"/>
      <c r="E307" s="40"/>
      <c r="F307" s="28"/>
    </row>
    <row r="308" spans="1:6" ht="76.5">
      <c r="A308" s="278"/>
      <c r="B308" s="57" t="s">
        <v>1469</v>
      </c>
      <c r="C308" s="277"/>
      <c r="D308" s="69"/>
      <c r="E308" s="40"/>
      <c r="F308" s="28"/>
    </row>
    <row r="309" spans="1:6" ht="93.75" customHeight="1">
      <c r="A309" s="278"/>
      <c r="B309" s="337" t="s">
        <v>1309</v>
      </c>
      <c r="C309" s="277"/>
      <c r="D309" s="69"/>
      <c r="E309" s="40"/>
      <c r="F309" s="28"/>
    </row>
    <row r="310" spans="1:6" ht="120" customHeight="1">
      <c r="A310" s="278"/>
      <c r="B310" s="57" t="s">
        <v>604</v>
      </c>
      <c r="C310" s="277"/>
      <c r="D310" s="69"/>
      <c r="E310" s="40"/>
      <c r="F310" s="28"/>
    </row>
    <row r="311" spans="1:6" ht="27.75" customHeight="1">
      <c r="A311" s="278"/>
      <c r="B311" s="57" t="s">
        <v>596</v>
      </c>
      <c r="C311" s="277"/>
      <c r="D311" s="69"/>
      <c r="E311" s="40"/>
      <c r="F311" s="28"/>
    </row>
    <row r="312" spans="1:2" ht="15" customHeight="1">
      <c r="A312" s="58"/>
      <c r="B312" s="57" t="s">
        <v>539</v>
      </c>
    </row>
    <row r="313" spans="1:6" ht="12" customHeight="1">
      <c r="A313" s="73" t="s">
        <v>76</v>
      </c>
      <c r="B313" s="67" t="s">
        <v>157</v>
      </c>
      <c r="D313" s="69"/>
      <c r="E313" s="40"/>
      <c r="F313" s="28"/>
    </row>
    <row r="314" spans="1:6" ht="15" customHeight="1">
      <c r="A314" s="278" t="s">
        <v>39</v>
      </c>
      <c r="B314" s="7" t="s">
        <v>1415</v>
      </c>
      <c r="C314" s="277" t="s">
        <v>540</v>
      </c>
      <c r="D314" s="69">
        <v>1</v>
      </c>
      <c r="E314" s="40"/>
      <c r="F314" s="28"/>
    </row>
    <row r="315" spans="1:6" ht="15" customHeight="1">
      <c r="A315" s="278" t="s">
        <v>40</v>
      </c>
      <c r="B315" s="7" t="s">
        <v>1416</v>
      </c>
      <c r="C315" s="277" t="s">
        <v>540</v>
      </c>
      <c r="D315" s="69">
        <v>1</v>
      </c>
      <c r="E315" s="40"/>
      <c r="F315" s="28"/>
    </row>
    <row r="316" spans="1:6" ht="15" customHeight="1">
      <c r="A316" s="278" t="s">
        <v>41</v>
      </c>
      <c r="B316" s="7" t="s">
        <v>1417</v>
      </c>
      <c r="C316" s="277" t="s">
        <v>540</v>
      </c>
      <c r="D316" s="69">
        <v>1</v>
      </c>
      <c r="E316" s="40"/>
      <c r="F316" s="28"/>
    </row>
    <row r="317" spans="1:6" ht="15" customHeight="1">
      <c r="A317" s="278" t="s">
        <v>42</v>
      </c>
      <c r="B317" s="7" t="s">
        <v>1418</v>
      </c>
      <c r="C317" s="277" t="s">
        <v>540</v>
      </c>
      <c r="D317" s="69">
        <v>1</v>
      </c>
      <c r="E317" s="40"/>
      <c r="F317" s="28"/>
    </row>
    <row r="318" spans="1:6" ht="15" customHeight="1">
      <c r="A318" s="278" t="s">
        <v>43</v>
      </c>
      <c r="B318" s="7" t="s">
        <v>1419</v>
      </c>
      <c r="C318" s="277" t="s">
        <v>540</v>
      </c>
      <c r="D318" s="69">
        <v>1</v>
      </c>
      <c r="E318" s="40"/>
      <c r="F318" s="28"/>
    </row>
    <row r="319" spans="1:6" ht="15" customHeight="1">
      <c r="A319" s="278" t="s">
        <v>45</v>
      </c>
      <c r="B319" s="7" t="s">
        <v>1420</v>
      </c>
      <c r="C319" s="277" t="s">
        <v>540</v>
      </c>
      <c r="D319" s="69">
        <v>1</v>
      </c>
      <c r="E319" s="40"/>
      <c r="F319" s="28"/>
    </row>
    <row r="320" spans="1:6" ht="15" customHeight="1">
      <c r="A320" s="278" t="s">
        <v>44</v>
      </c>
      <c r="B320" s="7" t="s">
        <v>1421</v>
      </c>
      <c r="C320" s="277" t="s">
        <v>540</v>
      </c>
      <c r="D320" s="69">
        <v>14</v>
      </c>
      <c r="E320" s="40"/>
      <c r="F320" s="28"/>
    </row>
    <row r="321" spans="1:6" ht="12.75">
      <c r="A321" s="73" t="s">
        <v>194</v>
      </c>
      <c r="B321" s="67" t="s">
        <v>564</v>
      </c>
      <c r="C321" s="277"/>
      <c r="D321" s="69"/>
      <c r="E321" s="40"/>
      <c r="F321" s="28"/>
    </row>
    <row r="322" spans="1:6" ht="15" customHeight="1">
      <c r="A322" s="278" t="s">
        <v>48</v>
      </c>
      <c r="B322" s="7" t="s">
        <v>1422</v>
      </c>
      <c r="C322" s="277" t="s">
        <v>540</v>
      </c>
      <c r="D322" s="69">
        <v>1</v>
      </c>
      <c r="E322" s="40"/>
      <c r="F322" s="28"/>
    </row>
    <row r="323" spans="1:6" ht="15" customHeight="1">
      <c r="A323" s="278" t="s">
        <v>49</v>
      </c>
      <c r="B323" s="7" t="s">
        <v>1423</v>
      </c>
      <c r="C323" s="277" t="s">
        <v>540</v>
      </c>
      <c r="D323" s="69">
        <v>2</v>
      </c>
      <c r="E323" s="40"/>
      <c r="F323" s="28"/>
    </row>
    <row r="324" spans="1:6" ht="15" customHeight="1">
      <c r="A324" s="278" t="s">
        <v>50</v>
      </c>
      <c r="B324" s="7" t="s">
        <v>1424</v>
      </c>
      <c r="C324" s="277" t="s">
        <v>540</v>
      </c>
      <c r="D324" s="69">
        <v>1</v>
      </c>
      <c r="E324" s="40"/>
      <c r="F324" s="28"/>
    </row>
    <row r="325" spans="1:6" ht="15" customHeight="1">
      <c r="A325" s="278" t="s">
        <v>53</v>
      </c>
      <c r="B325" s="7" t="s">
        <v>1425</v>
      </c>
      <c r="C325" s="277" t="s">
        <v>540</v>
      </c>
      <c r="D325" s="69">
        <v>3</v>
      </c>
      <c r="E325" s="40"/>
      <c r="F325" s="28"/>
    </row>
    <row r="326" spans="1:6" ht="12.75">
      <c r="A326" s="278"/>
      <c r="B326" s="57"/>
      <c r="C326" s="277"/>
      <c r="D326" s="69"/>
      <c r="E326" s="40"/>
      <c r="F326" s="28"/>
    </row>
    <row r="327" spans="1:6" ht="55.5" customHeight="1">
      <c r="A327" s="58">
        <f>A306+1</f>
        <v>720</v>
      </c>
      <c r="B327" s="57" t="s">
        <v>602</v>
      </c>
      <c r="C327" s="277"/>
      <c r="D327" s="69"/>
      <c r="E327" s="40"/>
      <c r="F327" s="28"/>
    </row>
    <row r="328" spans="1:6" ht="78" customHeight="1">
      <c r="A328" s="278"/>
      <c r="B328" s="57" t="s">
        <v>605</v>
      </c>
      <c r="C328" s="277"/>
      <c r="D328" s="69"/>
      <c r="E328" s="40"/>
      <c r="F328" s="28"/>
    </row>
    <row r="329" spans="1:6" ht="67.5" customHeight="1">
      <c r="A329" s="278"/>
      <c r="B329" s="57" t="s">
        <v>1426</v>
      </c>
      <c r="C329" s="277"/>
      <c r="D329" s="69"/>
      <c r="E329" s="40"/>
      <c r="F329" s="28"/>
    </row>
    <row r="330" spans="1:6" ht="57" customHeight="1">
      <c r="A330" s="278"/>
      <c r="B330" s="57" t="s">
        <v>1310</v>
      </c>
      <c r="C330" s="277"/>
      <c r="D330" s="69"/>
      <c r="E330" s="40"/>
      <c r="F330" s="28"/>
    </row>
    <row r="331" spans="1:6" ht="55.5" customHeight="1">
      <c r="A331" s="278"/>
      <c r="B331" s="57" t="s">
        <v>1311</v>
      </c>
      <c r="C331" s="277"/>
      <c r="D331" s="69"/>
      <c r="E331" s="40"/>
      <c r="F331" s="28"/>
    </row>
    <row r="332" spans="1:6" ht="121.5" customHeight="1">
      <c r="A332" s="278"/>
      <c r="B332" s="57" t="s">
        <v>606</v>
      </c>
      <c r="C332" s="277"/>
      <c r="D332" s="69"/>
      <c r="E332" s="40"/>
      <c r="F332" s="28"/>
    </row>
    <row r="333" spans="1:6" ht="27.75" customHeight="1">
      <c r="A333" s="278"/>
      <c r="B333" s="57" t="s">
        <v>596</v>
      </c>
      <c r="C333" s="277"/>
      <c r="D333" s="69"/>
      <c r="E333" s="40"/>
      <c r="F333" s="28"/>
    </row>
    <row r="334" spans="1:2" ht="15" customHeight="1">
      <c r="A334" s="58"/>
      <c r="B334" s="57" t="s">
        <v>539</v>
      </c>
    </row>
    <row r="335" spans="1:6" ht="12.75">
      <c r="A335" s="73" t="s">
        <v>19</v>
      </c>
      <c r="B335" s="67" t="s">
        <v>287</v>
      </c>
      <c r="C335" s="277"/>
      <c r="D335" s="69"/>
      <c r="E335" s="40"/>
      <c r="F335" s="28"/>
    </row>
    <row r="336" spans="1:6" ht="15" customHeight="1">
      <c r="A336" s="278" t="s">
        <v>39</v>
      </c>
      <c r="B336" s="7" t="s">
        <v>1427</v>
      </c>
      <c r="C336" s="277" t="s">
        <v>540</v>
      </c>
      <c r="D336" s="69">
        <v>10</v>
      </c>
      <c r="E336" s="40"/>
      <c r="F336" s="28"/>
    </row>
    <row r="337" spans="1:6" ht="15" customHeight="1">
      <c r="A337" s="278" t="s">
        <v>40</v>
      </c>
      <c r="B337" s="7" t="s">
        <v>1428</v>
      </c>
      <c r="C337" s="277" t="s">
        <v>540</v>
      </c>
      <c r="D337" s="69">
        <v>2</v>
      </c>
      <c r="E337" s="40"/>
      <c r="F337" s="28"/>
    </row>
    <row r="338" spans="1:6" ht="12.75">
      <c r="A338" s="73" t="s">
        <v>76</v>
      </c>
      <c r="B338" s="67" t="s">
        <v>157</v>
      </c>
      <c r="C338" s="277"/>
      <c r="D338" s="69"/>
      <c r="E338" s="40"/>
      <c r="F338" s="28"/>
    </row>
    <row r="339" spans="1:6" ht="15" customHeight="1">
      <c r="A339" s="278" t="s">
        <v>41</v>
      </c>
      <c r="B339" s="7" t="s">
        <v>1429</v>
      </c>
      <c r="C339" s="277" t="s">
        <v>540</v>
      </c>
      <c r="D339" s="319">
        <v>81</v>
      </c>
      <c r="E339" s="40"/>
      <c r="F339" s="28"/>
    </row>
    <row r="340" spans="1:6" ht="12.75">
      <c r="A340" s="73" t="s">
        <v>194</v>
      </c>
      <c r="B340" s="67" t="s">
        <v>564</v>
      </c>
      <c r="C340" s="277"/>
      <c r="D340" s="69"/>
      <c r="E340" s="40"/>
      <c r="F340" s="28"/>
    </row>
    <row r="341" spans="1:6" ht="15" customHeight="1">
      <c r="A341" s="278" t="s">
        <v>42</v>
      </c>
      <c r="B341" s="7" t="s">
        <v>1430</v>
      </c>
      <c r="C341" s="277" t="s">
        <v>540</v>
      </c>
      <c r="D341" s="69">
        <v>38</v>
      </c>
      <c r="E341" s="40"/>
      <c r="F341" s="28"/>
    </row>
    <row r="342" spans="1:6" ht="12.75">
      <c r="A342" s="278"/>
      <c r="B342" s="57"/>
      <c r="C342" s="277"/>
      <c r="D342" s="69"/>
      <c r="E342" s="40"/>
      <c r="F342" s="28"/>
    </row>
    <row r="343" spans="1:6" ht="120" customHeight="1">
      <c r="A343" s="58">
        <f>A327+1</f>
        <v>721</v>
      </c>
      <c r="B343" s="70" t="s">
        <v>607</v>
      </c>
      <c r="C343" s="277"/>
      <c r="D343" s="69"/>
      <c r="E343" s="40"/>
      <c r="F343" s="28"/>
    </row>
    <row r="344" spans="1:6" ht="107.25" customHeight="1">
      <c r="A344" s="278"/>
      <c r="B344" s="57" t="s">
        <v>1312</v>
      </c>
      <c r="C344" s="277"/>
      <c r="D344" s="69"/>
      <c r="E344" s="40"/>
      <c r="F344" s="28"/>
    </row>
    <row r="345" spans="1:6" ht="70.5" customHeight="1">
      <c r="A345" s="278"/>
      <c r="B345" s="57" t="s">
        <v>1313</v>
      </c>
      <c r="C345" s="277"/>
      <c r="D345" s="69"/>
      <c r="E345" s="40"/>
      <c r="F345" s="28"/>
    </row>
    <row r="346" spans="1:6" ht="69" customHeight="1">
      <c r="A346" s="278"/>
      <c r="B346" s="57" t="s">
        <v>608</v>
      </c>
      <c r="C346" s="277"/>
      <c r="D346" s="69"/>
      <c r="E346" s="40"/>
      <c r="F346" s="28"/>
    </row>
    <row r="347" spans="1:6" ht="93.75" customHeight="1">
      <c r="A347" s="278"/>
      <c r="B347" s="70" t="s">
        <v>609</v>
      </c>
      <c r="C347" s="277"/>
      <c r="D347" s="69"/>
      <c r="E347" s="40"/>
      <c r="F347" s="28"/>
    </row>
    <row r="348" spans="1:6" ht="122.25" customHeight="1">
      <c r="A348" s="278"/>
      <c r="B348" s="70" t="s">
        <v>610</v>
      </c>
      <c r="C348" s="277"/>
      <c r="D348" s="69"/>
      <c r="E348" s="40"/>
      <c r="F348" s="28"/>
    </row>
    <row r="349" spans="1:6" ht="30" customHeight="1">
      <c r="A349" s="278"/>
      <c r="B349" s="57" t="s">
        <v>718</v>
      </c>
      <c r="C349" s="277"/>
      <c r="D349" s="69"/>
      <c r="E349" s="40"/>
      <c r="F349" s="28"/>
    </row>
    <row r="350" spans="1:6" ht="27.75" customHeight="1">
      <c r="A350" s="278"/>
      <c r="B350" s="57" t="s">
        <v>596</v>
      </c>
      <c r="C350" s="277"/>
      <c r="D350" s="69"/>
      <c r="E350" s="40"/>
      <c r="F350" s="28"/>
    </row>
    <row r="351" spans="1:2" ht="32.25" customHeight="1">
      <c r="A351" s="58"/>
      <c r="B351" s="57" t="s">
        <v>611</v>
      </c>
    </row>
    <row r="352" spans="1:6" ht="12.75">
      <c r="A352" s="73" t="s">
        <v>76</v>
      </c>
      <c r="B352" s="67" t="s">
        <v>157</v>
      </c>
      <c r="C352" s="277"/>
      <c r="D352" s="69"/>
      <c r="E352" s="40"/>
      <c r="F352" s="28"/>
    </row>
    <row r="353" spans="1:6" ht="12.75">
      <c r="A353" s="73"/>
      <c r="B353" s="282" t="s">
        <v>612</v>
      </c>
      <c r="C353" s="277"/>
      <c r="D353" s="69"/>
      <c r="E353" s="40"/>
      <c r="F353" s="28"/>
    </row>
    <row r="354" spans="1:6" ht="15" customHeight="1">
      <c r="A354" s="278" t="s">
        <v>39</v>
      </c>
      <c r="B354" s="7" t="s">
        <v>1431</v>
      </c>
      <c r="C354" s="277" t="s">
        <v>540</v>
      </c>
      <c r="D354" s="69">
        <v>1</v>
      </c>
      <c r="E354" s="40"/>
      <c r="F354" s="28"/>
    </row>
    <row r="355" spans="1:6" ht="15" customHeight="1">
      <c r="A355" s="278" t="s">
        <v>40</v>
      </c>
      <c r="B355" s="7" t="s">
        <v>1432</v>
      </c>
      <c r="C355" s="277" t="s">
        <v>540</v>
      </c>
      <c r="D355" s="69">
        <v>1</v>
      </c>
      <c r="E355" s="40"/>
      <c r="F355" s="28"/>
    </row>
    <row r="356" spans="1:6" ht="15" customHeight="1">
      <c r="A356" s="278" t="s">
        <v>41</v>
      </c>
      <c r="B356" s="7" t="s">
        <v>1433</v>
      </c>
      <c r="C356" s="277" t="s">
        <v>540</v>
      </c>
      <c r="D356" s="69">
        <v>1</v>
      </c>
      <c r="E356" s="40"/>
      <c r="F356" s="28"/>
    </row>
    <row r="357" spans="1:6" ht="12.75">
      <c r="A357" s="73"/>
      <c r="B357" s="44" t="s">
        <v>613</v>
      </c>
      <c r="C357" s="277"/>
      <c r="D357" s="69"/>
      <c r="E357" s="40"/>
      <c r="F357" s="28"/>
    </row>
    <row r="358" spans="1:6" ht="15" customHeight="1">
      <c r="A358" s="278" t="s">
        <v>39</v>
      </c>
      <c r="B358" s="7" t="s">
        <v>1434</v>
      </c>
      <c r="C358" s="277" t="s">
        <v>540</v>
      </c>
      <c r="D358" s="69">
        <v>1</v>
      </c>
      <c r="E358" s="40"/>
      <c r="F358" s="28"/>
    </row>
    <row r="359" spans="1:6" ht="15" customHeight="1">
      <c r="A359" s="278" t="s">
        <v>40</v>
      </c>
      <c r="B359" s="7" t="s">
        <v>1435</v>
      </c>
      <c r="C359" s="277" t="s">
        <v>540</v>
      </c>
      <c r="D359" s="69">
        <v>1</v>
      </c>
      <c r="E359" s="40"/>
      <c r="F359" s="28"/>
    </row>
    <row r="360" spans="1:6" ht="15" customHeight="1">
      <c r="A360" s="278" t="s">
        <v>41</v>
      </c>
      <c r="B360" s="7" t="s">
        <v>1436</v>
      </c>
      <c r="C360" s="277" t="s">
        <v>540</v>
      </c>
      <c r="D360" s="69">
        <v>1</v>
      </c>
      <c r="E360" s="40"/>
      <c r="F360" s="28"/>
    </row>
    <row r="361" spans="1:6" ht="15" customHeight="1">
      <c r="A361" s="278"/>
      <c r="B361" s="57"/>
      <c r="C361" s="277"/>
      <c r="D361" s="69"/>
      <c r="E361" s="40"/>
      <c r="F361" s="28"/>
    </row>
    <row r="362" spans="1:6" ht="126.75" customHeight="1">
      <c r="A362" s="58">
        <f>A343+1</f>
        <v>722</v>
      </c>
      <c r="B362" s="57" t="s">
        <v>797</v>
      </c>
      <c r="C362" s="277"/>
      <c r="D362" s="69"/>
      <c r="E362" s="40"/>
      <c r="F362" s="28"/>
    </row>
    <row r="363" spans="1:6" ht="114.75">
      <c r="A363" s="58"/>
      <c r="B363" s="57" t="s">
        <v>798</v>
      </c>
      <c r="C363" s="277"/>
      <c r="D363" s="69"/>
      <c r="E363" s="40"/>
      <c r="F363" s="28"/>
    </row>
    <row r="364" spans="1:6" ht="93" customHeight="1">
      <c r="A364" s="58"/>
      <c r="B364" s="57" t="s">
        <v>614</v>
      </c>
      <c r="C364" s="277"/>
      <c r="D364" s="69"/>
      <c r="E364" s="40"/>
      <c r="F364" s="28"/>
    </row>
    <row r="365" spans="1:6" ht="123" customHeight="1">
      <c r="A365" s="58"/>
      <c r="B365" s="184" t="s">
        <v>615</v>
      </c>
      <c r="C365" s="277"/>
      <c r="D365" s="69"/>
      <c r="E365" s="40"/>
      <c r="F365" s="28"/>
    </row>
    <row r="366" spans="1:6" ht="114.75">
      <c r="A366" s="58"/>
      <c r="B366" s="184" t="s">
        <v>799</v>
      </c>
      <c r="C366" s="277"/>
      <c r="D366" s="69"/>
      <c r="E366" s="40"/>
      <c r="F366" s="28"/>
    </row>
    <row r="367" spans="1:6" ht="25.5">
      <c r="A367" s="278"/>
      <c r="B367" s="57" t="s">
        <v>795</v>
      </c>
      <c r="C367" s="277"/>
      <c r="D367" s="69"/>
      <c r="E367" s="40"/>
      <c r="F367" s="28"/>
    </row>
    <row r="368" spans="1:2" ht="25.5">
      <c r="A368" s="58"/>
      <c r="B368" s="57" t="s">
        <v>616</v>
      </c>
    </row>
    <row r="369" spans="1:6" ht="15" customHeight="1">
      <c r="A369" s="73" t="s">
        <v>194</v>
      </c>
      <c r="B369" s="67" t="s">
        <v>564</v>
      </c>
      <c r="C369" s="277"/>
      <c r="D369" s="69"/>
      <c r="E369" s="40"/>
      <c r="F369" s="28"/>
    </row>
    <row r="370" spans="1:6" ht="15" customHeight="1">
      <c r="A370" s="278"/>
      <c r="B370" s="57" t="s">
        <v>719</v>
      </c>
      <c r="C370" s="277" t="s">
        <v>540</v>
      </c>
      <c r="D370" s="69">
        <v>2</v>
      </c>
      <c r="E370" s="40"/>
      <c r="F370" s="28"/>
    </row>
    <row r="371" spans="1:6" ht="12.75">
      <c r="A371" s="278"/>
      <c r="B371" s="57"/>
      <c r="C371" s="277"/>
      <c r="D371" s="69"/>
      <c r="E371" s="40"/>
      <c r="F371" s="28"/>
    </row>
    <row r="372" spans="1:6" ht="30.75" customHeight="1">
      <c r="A372" s="58">
        <f>A362+1</f>
        <v>723</v>
      </c>
      <c r="B372" s="57" t="s">
        <v>617</v>
      </c>
      <c r="C372" s="277"/>
      <c r="D372" s="69"/>
      <c r="E372" s="40"/>
      <c r="F372" s="28"/>
    </row>
    <row r="373" spans="1:6" ht="127.5">
      <c r="A373" s="278"/>
      <c r="B373" s="70" t="s">
        <v>800</v>
      </c>
      <c r="C373" s="277"/>
      <c r="D373" s="69"/>
      <c r="E373" s="40"/>
      <c r="F373" s="28"/>
    </row>
    <row r="374" spans="1:6" ht="107.25" customHeight="1">
      <c r="A374" s="278"/>
      <c r="B374" s="70" t="s">
        <v>1470</v>
      </c>
      <c r="C374" s="277"/>
      <c r="D374" s="69"/>
      <c r="E374" s="40"/>
      <c r="F374" s="28"/>
    </row>
    <row r="375" spans="1:6" ht="76.5">
      <c r="A375" s="278"/>
      <c r="B375" s="57" t="s">
        <v>801</v>
      </c>
      <c r="C375" s="277"/>
      <c r="D375" s="69"/>
      <c r="E375" s="40"/>
      <c r="F375" s="28"/>
    </row>
    <row r="376" spans="1:6" ht="25.5">
      <c r="A376" s="278"/>
      <c r="B376" s="57" t="s">
        <v>795</v>
      </c>
      <c r="C376" s="277"/>
      <c r="D376" s="69"/>
      <c r="E376" s="40"/>
      <c r="F376" s="28"/>
    </row>
    <row r="377" spans="1:2" ht="12.75">
      <c r="A377" s="58"/>
      <c r="B377" s="57" t="s">
        <v>618</v>
      </c>
    </row>
    <row r="378" spans="1:2" ht="12.75" customHeight="1">
      <c r="A378" s="73" t="s">
        <v>19</v>
      </c>
      <c r="B378" s="67" t="s">
        <v>287</v>
      </c>
    </row>
    <row r="379" spans="1:6" ht="15" customHeight="1">
      <c r="A379" s="278" t="s">
        <v>39</v>
      </c>
      <c r="B379" s="57" t="s">
        <v>720</v>
      </c>
      <c r="C379" s="277" t="s">
        <v>540</v>
      </c>
      <c r="D379" s="69">
        <v>10</v>
      </c>
      <c r="E379" s="40"/>
      <c r="F379" s="28"/>
    </row>
    <row r="380" spans="1:6" ht="12.75">
      <c r="A380" s="73" t="s">
        <v>76</v>
      </c>
      <c r="B380" s="67" t="s">
        <v>157</v>
      </c>
      <c r="C380" s="277"/>
      <c r="D380" s="69"/>
      <c r="E380" s="40"/>
      <c r="F380" s="28"/>
    </row>
    <row r="381" spans="1:6" ht="15" customHeight="1">
      <c r="A381" s="278" t="s">
        <v>40</v>
      </c>
      <c r="B381" s="57" t="s">
        <v>721</v>
      </c>
      <c r="C381" s="277" t="s">
        <v>540</v>
      </c>
      <c r="D381" s="319">
        <v>98</v>
      </c>
      <c r="E381" s="40"/>
      <c r="F381" s="28"/>
    </row>
    <row r="382" spans="1:6" ht="15" customHeight="1">
      <c r="A382" s="278" t="s">
        <v>41</v>
      </c>
      <c r="B382" s="57" t="s">
        <v>722</v>
      </c>
      <c r="C382" s="277" t="s">
        <v>540</v>
      </c>
      <c r="D382" s="69">
        <v>6</v>
      </c>
      <c r="E382" s="40"/>
      <c r="F382" s="28"/>
    </row>
    <row r="383" spans="1:6" ht="12.75">
      <c r="A383" s="278"/>
      <c r="B383" s="57"/>
      <c r="C383" s="277"/>
      <c r="D383" s="69"/>
      <c r="E383" s="40"/>
      <c r="F383" s="28"/>
    </row>
    <row r="384" spans="1:6" ht="118.5" customHeight="1">
      <c r="A384" s="58">
        <f>A372+1</f>
        <v>724</v>
      </c>
      <c r="B384" s="57" t="s">
        <v>619</v>
      </c>
      <c r="C384" s="277"/>
      <c r="D384" s="69"/>
      <c r="E384" s="40"/>
      <c r="F384" s="28"/>
    </row>
    <row r="385" spans="1:6" ht="106.5" customHeight="1">
      <c r="A385" s="278"/>
      <c r="B385" s="57" t="s">
        <v>1317</v>
      </c>
      <c r="C385" s="277"/>
      <c r="D385" s="69"/>
      <c r="E385" s="40"/>
      <c r="F385" s="28"/>
    </row>
    <row r="386" spans="1:6" ht="81" customHeight="1">
      <c r="A386" s="278"/>
      <c r="B386" s="57" t="s">
        <v>1318</v>
      </c>
      <c r="C386" s="277"/>
      <c r="D386" s="69"/>
      <c r="E386" s="40"/>
      <c r="F386" s="28"/>
    </row>
    <row r="387" spans="1:6" ht="70.5" customHeight="1">
      <c r="A387" s="278"/>
      <c r="B387" s="57" t="s">
        <v>620</v>
      </c>
      <c r="C387" s="277"/>
      <c r="D387" s="69"/>
      <c r="E387" s="40"/>
      <c r="F387" s="28"/>
    </row>
    <row r="388" spans="1:6" ht="27.75" customHeight="1">
      <c r="A388" s="278"/>
      <c r="B388" s="57" t="s">
        <v>596</v>
      </c>
      <c r="C388" s="277"/>
      <c r="D388" s="69"/>
      <c r="E388" s="40"/>
      <c r="F388" s="28"/>
    </row>
    <row r="389" spans="1:2" ht="17.25" customHeight="1">
      <c r="A389" s="58"/>
      <c r="B389" s="57" t="s">
        <v>618</v>
      </c>
    </row>
    <row r="390" spans="1:6" ht="12.75">
      <c r="A390" s="73" t="s">
        <v>194</v>
      </c>
      <c r="B390" s="67" t="s">
        <v>564</v>
      </c>
      <c r="C390" s="277"/>
      <c r="D390" s="69"/>
      <c r="E390" s="40"/>
      <c r="F390" s="28"/>
    </row>
    <row r="391" spans="1:6" ht="30.75" customHeight="1">
      <c r="A391" s="278" t="s">
        <v>39</v>
      </c>
      <c r="B391" s="70" t="s">
        <v>723</v>
      </c>
      <c r="C391" s="277" t="s">
        <v>540</v>
      </c>
      <c r="D391" s="69">
        <v>1</v>
      </c>
      <c r="E391" s="40"/>
      <c r="F391" s="28"/>
    </row>
    <row r="392" spans="1:6" ht="15" customHeight="1">
      <c r="A392" s="278" t="s">
        <v>40</v>
      </c>
      <c r="B392" s="57" t="s">
        <v>724</v>
      </c>
      <c r="C392" s="277" t="s">
        <v>540</v>
      </c>
      <c r="D392" s="69">
        <v>1</v>
      </c>
      <c r="E392" s="40"/>
      <c r="F392" s="28"/>
    </row>
    <row r="393" spans="1:6" ht="12.75">
      <c r="A393" s="278"/>
      <c r="B393" s="57"/>
      <c r="C393" s="277"/>
      <c r="D393" s="69"/>
      <c r="E393" s="40"/>
      <c r="F393" s="28"/>
    </row>
    <row r="394" spans="1:6" ht="118.5" customHeight="1">
      <c r="A394" s="58">
        <f>A384+1</f>
        <v>725</v>
      </c>
      <c r="B394" s="70" t="s">
        <v>802</v>
      </c>
      <c r="C394" s="277"/>
      <c r="D394" s="69"/>
      <c r="E394" s="40"/>
      <c r="F394" s="28"/>
    </row>
    <row r="395" spans="1:6" ht="54.75" customHeight="1">
      <c r="A395" s="278"/>
      <c r="B395" s="57" t="s">
        <v>1308</v>
      </c>
      <c r="C395" s="277"/>
      <c r="D395" s="69"/>
      <c r="E395" s="40"/>
      <c r="F395" s="28"/>
    </row>
    <row r="396" spans="1:6" ht="109.5" customHeight="1">
      <c r="A396" s="278"/>
      <c r="B396" s="57" t="s">
        <v>1307</v>
      </c>
      <c r="C396" s="277"/>
      <c r="D396" s="69"/>
      <c r="E396" s="40"/>
      <c r="F396" s="28"/>
    </row>
    <row r="397" spans="1:6" ht="54.75" customHeight="1">
      <c r="A397" s="278"/>
      <c r="B397" s="57" t="s">
        <v>621</v>
      </c>
      <c r="C397" s="277"/>
      <c r="D397" s="69"/>
      <c r="E397" s="40"/>
      <c r="F397" s="28"/>
    </row>
    <row r="398" spans="1:6" ht="27.75" customHeight="1">
      <c r="A398" s="278"/>
      <c r="B398" s="57" t="s">
        <v>596</v>
      </c>
      <c r="C398" s="277"/>
      <c r="D398" s="69"/>
      <c r="E398" s="40"/>
      <c r="F398" s="28"/>
    </row>
    <row r="399" spans="1:2" ht="17.25" customHeight="1">
      <c r="A399" s="58"/>
      <c r="B399" s="57" t="s">
        <v>618</v>
      </c>
    </row>
    <row r="400" spans="1:6" ht="15" customHeight="1">
      <c r="A400" s="278" t="s">
        <v>39</v>
      </c>
      <c r="B400" s="7" t="s">
        <v>1437</v>
      </c>
      <c r="C400" s="277" t="s">
        <v>540</v>
      </c>
      <c r="D400" s="69">
        <v>2</v>
      </c>
      <c r="E400" s="40"/>
      <c r="F400" s="28"/>
    </row>
    <row r="401" spans="1:6" ht="15" customHeight="1">
      <c r="A401" s="278" t="s">
        <v>40</v>
      </c>
      <c r="B401" s="7" t="s">
        <v>1438</v>
      </c>
      <c r="C401" s="277" t="s">
        <v>540</v>
      </c>
      <c r="D401" s="69">
        <v>1</v>
      </c>
      <c r="E401" s="40"/>
      <c r="F401" s="28"/>
    </row>
    <row r="402" spans="1:6" ht="15" customHeight="1">
      <c r="A402" s="278" t="s">
        <v>41</v>
      </c>
      <c r="B402" s="7" t="s">
        <v>1439</v>
      </c>
      <c r="C402" s="277" t="s">
        <v>540</v>
      </c>
      <c r="D402" s="69">
        <v>1</v>
      </c>
      <c r="E402" s="40"/>
      <c r="F402" s="28"/>
    </row>
    <row r="403" spans="1:6" ht="15" customHeight="1">
      <c r="A403" s="278" t="s">
        <v>42</v>
      </c>
      <c r="B403" s="7" t="s">
        <v>1440</v>
      </c>
      <c r="C403" s="277" t="s">
        <v>540</v>
      </c>
      <c r="D403" s="69">
        <v>1</v>
      </c>
      <c r="E403" s="40"/>
      <c r="F403" s="28"/>
    </row>
    <row r="404" spans="1:6" ht="15" customHeight="1">
      <c r="A404" s="278" t="s">
        <v>43</v>
      </c>
      <c r="B404" s="7" t="s">
        <v>1441</v>
      </c>
      <c r="C404" s="277" t="s">
        <v>540</v>
      </c>
      <c r="D404" s="69">
        <v>1</v>
      </c>
      <c r="E404" s="40"/>
      <c r="F404" s="28"/>
    </row>
    <row r="405" spans="1:6" ht="15" customHeight="1">
      <c r="A405" s="278" t="s">
        <v>45</v>
      </c>
      <c r="B405" s="7" t="s">
        <v>1442</v>
      </c>
      <c r="C405" s="277" t="s">
        <v>540</v>
      </c>
      <c r="D405" s="69">
        <v>1</v>
      </c>
      <c r="E405" s="40"/>
      <c r="F405" s="28"/>
    </row>
    <row r="406" spans="1:6" ht="15" customHeight="1">
      <c r="A406" s="278" t="s">
        <v>44</v>
      </c>
      <c r="B406" s="7" t="s">
        <v>1443</v>
      </c>
      <c r="C406" s="277" t="s">
        <v>540</v>
      </c>
      <c r="D406" s="69">
        <v>1</v>
      </c>
      <c r="E406" s="40"/>
      <c r="F406" s="28"/>
    </row>
    <row r="407" spans="1:6" ht="15" customHeight="1">
      <c r="A407" s="278" t="s">
        <v>48</v>
      </c>
      <c r="B407" s="7" t="s">
        <v>1444</v>
      </c>
      <c r="C407" s="277" t="s">
        <v>540</v>
      </c>
      <c r="D407" s="69">
        <v>1</v>
      </c>
      <c r="E407" s="40"/>
      <c r="F407" s="28"/>
    </row>
    <row r="408" spans="1:6" ht="15" customHeight="1">
      <c r="A408" s="278" t="s">
        <v>49</v>
      </c>
      <c r="B408" s="7" t="s">
        <v>1445</v>
      </c>
      <c r="C408" s="277" t="s">
        <v>540</v>
      </c>
      <c r="D408" s="69">
        <v>1</v>
      </c>
      <c r="E408" s="40"/>
      <c r="F408" s="28"/>
    </row>
    <row r="409" spans="1:6" ht="15" customHeight="1">
      <c r="A409" s="278" t="s">
        <v>50</v>
      </c>
      <c r="B409" s="7" t="s">
        <v>1446</v>
      </c>
      <c r="C409" s="277" t="s">
        <v>540</v>
      </c>
      <c r="D409" s="69">
        <v>1</v>
      </c>
      <c r="E409" s="40"/>
      <c r="F409" s="28"/>
    </row>
    <row r="410" spans="1:6" ht="15" customHeight="1">
      <c r="A410" s="278" t="s">
        <v>51</v>
      </c>
      <c r="B410" s="7" t="s">
        <v>1447</v>
      </c>
      <c r="C410" s="277" t="s">
        <v>540</v>
      </c>
      <c r="D410" s="69">
        <v>2</v>
      </c>
      <c r="E410" s="40"/>
      <c r="F410" s="28"/>
    </row>
    <row r="411" spans="1:6" ht="15" customHeight="1">
      <c r="A411" s="278" t="s">
        <v>53</v>
      </c>
      <c r="B411" s="7" t="s">
        <v>1448</v>
      </c>
      <c r="C411" s="277" t="s">
        <v>540</v>
      </c>
      <c r="D411" s="69">
        <v>1</v>
      </c>
      <c r="E411" s="40"/>
      <c r="F411" s="28"/>
    </row>
    <row r="412" spans="1:6" ht="15" customHeight="1">
      <c r="A412" s="278" t="s">
        <v>93</v>
      </c>
      <c r="B412" s="7" t="s">
        <v>1449</v>
      </c>
      <c r="C412" s="277" t="s">
        <v>540</v>
      </c>
      <c r="D412" s="69">
        <v>2</v>
      </c>
      <c r="E412" s="40"/>
      <c r="F412" s="28"/>
    </row>
    <row r="413" spans="1:6" ht="15" customHeight="1">
      <c r="A413" s="278" t="s">
        <v>94</v>
      </c>
      <c r="B413" s="7" t="s">
        <v>1450</v>
      </c>
      <c r="C413" s="277" t="s">
        <v>540</v>
      </c>
      <c r="D413" s="69">
        <v>1</v>
      </c>
      <c r="E413" s="40"/>
      <c r="F413" s="28"/>
    </row>
    <row r="414" spans="1:6" ht="15" customHeight="1">
      <c r="A414" s="278" t="s">
        <v>165</v>
      </c>
      <c r="B414" s="7" t="s">
        <v>1451</v>
      </c>
      <c r="C414" s="277" t="s">
        <v>540</v>
      </c>
      <c r="D414" s="69">
        <v>2</v>
      </c>
      <c r="E414" s="40"/>
      <c r="F414" s="28"/>
    </row>
    <row r="415" spans="1:6" ht="15" customHeight="1">
      <c r="A415" s="278" t="s">
        <v>166</v>
      </c>
      <c r="B415" s="7" t="s">
        <v>1452</v>
      </c>
      <c r="C415" s="277" t="s">
        <v>540</v>
      </c>
      <c r="D415" s="69">
        <v>1</v>
      </c>
      <c r="E415" s="40"/>
      <c r="F415" s="28"/>
    </row>
    <row r="416" spans="1:6" ht="12.75">
      <c r="A416" s="278"/>
      <c r="B416" s="57"/>
      <c r="C416" s="277"/>
      <c r="D416" s="69"/>
      <c r="E416" s="40"/>
      <c r="F416" s="28"/>
    </row>
    <row r="417" spans="1:6" ht="89.25">
      <c r="A417" s="58">
        <f>A394+1</f>
        <v>726</v>
      </c>
      <c r="B417" s="70" t="s">
        <v>803</v>
      </c>
      <c r="C417" s="277"/>
      <c r="D417" s="69"/>
      <c r="E417" s="40"/>
      <c r="F417" s="28"/>
    </row>
    <row r="418" spans="1:6" ht="132.75" customHeight="1">
      <c r="A418" s="58"/>
      <c r="B418" s="70" t="s">
        <v>622</v>
      </c>
      <c r="C418" s="277"/>
      <c r="D418" s="69"/>
      <c r="E418" s="40"/>
      <c r="F418" s="28"/>
    </row>
    <row r="419" spans="1:6" ht="25.5">
      <c r="A419" s="278"/>
      <c r="B419" s="57" t="s">
        <v>795</v>
      </c>
      <c r="C419" s="277"/>
      <c r="D419" s="69"/>
      <c r="E419" s="40"/>
      <c r="F419" s="28"/>
    </row>
    <row r="420" spans="1:2" ht="12.75">
      <c r="A420" s="58"/>
      <c r="B420" s="57" t="s">
        <v>618</v>
      </c>
    </row>
    <row r="421" spans="1:6" ht="12.75">
      <c r="A421" s="73" t="s">
        <v>194</v>
      </c>
      <c r="B421" s="67" t="s">
        <v>564</v>
      </c>
      <c r="C421" s="277"/>
      <c r="D421" s="69"/>
      <c r="E421" s="40"/>
      <c r="F421" s="28"/>
    </row>
    <row r="422" spans="1:6" ht="15" customHeight="1">
      <c r="A422" s="278"/>
      <c r="B422" s="57" t="s">
        <v>1296</v>
      </c>
      <c r="C422" s="277" t="s">
        <v>540</v>
      </c>
      <c r="D422" s="69">
        <v>1</v>
      </c>
      <c r="E422" s="40"/>
      <c r="F422" s="28"/>
    </row>
    <row r="423" spans="1:6" ht="12.75">
      <c r="A423" s="278"/>
      <c r="B423" s="57"/>
      <c r="C423" s="277"/>
      <c r="D423" s="69"/>
      <c r="E423" s="40"/>
      <c r="F423" s="28"/>
    </row>
    <row r="424" spans="1:6" ht="15" customHeight="1">
      <c r="A424" s="278"/>
      <c r="B424" s="11" t="s">
        <v>623</v>
      </c>
      <c r="C424" s="277"/>
      <c r="D424" s="69"/>
      <c r="E424" s="40"/>
      <c r="F424" s="28"/>
    </row>
    <row r="425" spans="1:6" ht="93" customHeight="1">
      <c r="A425" s="58">
        <f>A417+1</f>
        <v>727</v>
      </c>
      <c r="B425" s="70" t="s">
        <v>624</v>
      </c>
      <c r="C425" s="277"/>
      <c r="D425" s="69"/>
      <c r="E425" s="40"/>
      <c r="F425" s="28"/>
    </row>
    <row r="426" spans="1:6" ht="12.75">
      <c r="A426" s="73" t="s">
        <v>194</v>
      </c>
      <c r="B426" s="67" t="s">
        <v>564</v>
      </c>
      <c r="C426" s="277"/>
      <c r="D426" s="69"/>
      <c r="E426" s="40"/>
      <c r="F426" s="28"/>
    </row>
    <row r="427" spans="1:6" ht="15" customHeight="1">
      <c r="A427" s="278"/>
      <c r="B427" s="57" t="s">
        <v>725</v>
      </c>
      <c r="C427" s="277" t="s">
        <v>540</v>
      </c>
      <c r="D427" s="69">
        <v>48</v>
      </c>
      <c r="E427" s="40"/>
      <c r="F427" s="28"/>
    </row>
    <row r="428" spans="1:6" ht="12.75">
      <c r="A428" s="278"/>
      <c r="B428" s="57"/>
      <c r="C428" s="277"/>
      <c r="D428" s="69"/>
      <c r="E428" s="40"/>
      <c r="F428" s="28"/>
    </row>
    <row r="429" spans="1:6" ht="12.75">
      <c r="A429" s="73"/>
      <c r="B429" s="67" t="s">
        <v>625</v>
      </c>
      <c r="C429" s="277"/>
      <c r="D429" s="69"/>
      <c r="E429" s="40"/>
      <c r="F429" s="28"/>
    </row>
    <row r="430" spans="1:6" s="64" customFormat="1" ht="12">
      <c r="A430" s="291"/>
      <c r="B430" s="279"/>
      <c r="C430" s="277"/>
      <c r="D430" s="292"/>
      <c r="E430" s="293"/>
      <c r="F430" s="294"/>
    </row>
    <row r="431" spans="1:6" ht="12.75">
      <c r="A431" s="73"/>
      <c r="B431" s="67" t="s">
        <v>626</v>
      </c>
      <c r="C431" s="277"/>
      <c r="D431" s="69"/>
      <c r="E431" s="40"/>
      <c r="F431" s="28"/>
    </row>
    <row r="432" spans="1:6" ht="12.75">
      <c r="A432" s="73"/>
      <c r="B432" s="44" t="s">
        <v>627</v>
      </c>
      <c r="C432" s="277"/>
      <c r="D432" s="69"/>
      <c r="E432" s="40"/>
      <c r="F432" s="28"/>
    </row>
    <row r="433" spans="1:6" ht="131.25" customHeight="1">
      <c r="A433" s="58">
        <f>A425+1</f>
        <v>728</v>
      </c>
      <c r="B433" s="44" t="s">
        <v>726</v>
      </c>
      <c r="C433" s="277"/>
      <c r="D433" s="69"/>
      <c r="E433" s="40"/>
      <c r="F433" s="28"/>
    </row>
    <row r="434" spans="1:6" ht="94.5" customHeight="1">
      <c r="A434" s="73"/>
      <c r="B434" s="44" t="s">
        <v>727</v>
      </c>
      <c r="C434" s="277"/>
      <c r="D434" s="69"/>
      <c r="E434" s="40"/>
      <c r="F434" s="28"/>
    </row>
    <row r="435" spans="1:6" ht="27.75" customHeight="1">
      <c r="A435" s="278"/>
      <c r="B435" s="7" t="s">
        <v>591</v>
      </c>
      <c r="C435" s="277"/>
      <c r="D435" s="69"/>
      <c r="E435" s="40"/>
      <c r="F435" s="28"/>
    </row>
    <row r="436" spans="1:2" ht="15" customHeight="1">
      <c r="A436" s="58"/>
      <c r="B436" s="57" t="s">
        <v>539</v>
      </c>
    </row>
    <row r="437" spans="1:6" ht="12.75">
      <c r="A437" s="73"/>
      <c r="B437" s="57" t="s">
        <v>562</v>
      </c>
      <c r="C437" s="277"/>
      <c r="D437" s="69"/>
      <c r="E437" s="40"/>
      <c r="F437" s="28"/>
    </row>
    <row r="438" spans="1:6" ht="12.75">
      <c r="A438" s="73" t="s">
        <v>76</v>
      </c>
      <c r="B438" s="67" t="s">
        <v>157</v>
      </c>
      <c r="C438" s="277"/>
      <c r="D438" s="69"/>
      <c r="E438" s="40"/>
      <c r="F438" s="28"/>
    </row>
    <row r="439" spans="1:6" ht="13.5">
      <c r="A439" s="278" t="s">
        <v>39</v>
      </c>
      <c r="B439" s="57" t="s">
        <v>728</v>
      </c>
      <c r="C439" s="277" t="s">
        <v>540</v>
      </c>
      <c r="D439" s="69">
        <v>1</v>
      </c>
      <c r="E439" s="40"/>
      <c r="F439" s="28"/>
    </row>
    <row r="440" spans="1:6" ht="12" customHeight="1">
      <c r="A440" s="278"/>
      <c r="B440" s="57"/>
      <c r="C440" s="277"/>
      <c r="D440" s="69"/>
      <c r="E440" s="40"/>
      <c r="F440" s="28"/>
    </row>
    <row r="441" spans="1:6" ht="12.75">
      <c r="A441" s="73"/>
      <c r="B441" s="57" t="s">
        <v>565</v>
      </c>
      <c r="C441" s="277"/>
      <c r="D441" s="69"/>
      <c r="E441" s="40"/>
      <c r="F441" s="28"/>
    </row>
    <row r="442" spans="1:6" ht="12.75">
      <c r="A442" s="73" t="s">
        <v>19</v>
      </c>
      <c r="B442" s="67" t="s">
        <v>287</v>
      </c>
      <c r="C442" s="277"/>
      <c r="D442" s="69"/>
      <c r="E442" s="40"/>
      <c r="F442" s="28"/>
    </row>
    <row r="443" spans="1:6" ht="13.5">
      <c r="A443" s="278" t="s">
        <v>39</v>
      </c>
      <c r="B443" s="57" t="s">
        <v>729</v>
      </c>
      <c r="C443" s="277" t="s">
        <v>540</v>
      </c>
      <c r="D443" s="69">
        <v>1</v>
      </c>
      <c r="E443" s="40"/>
      <c r="F443" s="28"/>
    </row>
    <row r="444" spans="1:6" ht="13.5">
      <c r="A444" s="278" t="s">
        <v>40</v>
      </c>
      <c r="B444" s="57" t="s">
        <v>730</v>
      </c>
      <c r="C444" s="277" t="s">
        <v>540</v>
      </c>
      <c r="D444" s="69">
        <v>1</v>
      </c>
      <c r="E444" s="40"/>
      <c r="F444" s="28"/>
    </row>
    <row r="445" spans="1:6" ht="12.75">
      <c r="A445" s="73" t="s">
        <v>76</v>
      </c>
      <c r="B445" s="67" t="s">
        <v>157</v>
      </c>
      <c r="C445" s="277"/>
      <c r="D445" s="69"/>
      <c r="E445" s="40"/>
      <c r="F445" s="28"/>
    </row>
    <row r="446" spans="1:6" ht="13.5">
      <c r="A446" s="278" t="s">
        <v>41</v>
      </c>
      <c r="B446" s="57" t="s">
        <v>729</v>
      </c>
      <c r="C446" s="277" t="s">
        <v>540</v>
      </c>
      <c r="D446" s="69">
        <v>1</v>
      </c>
      <c r="E446" s="40"/>
      <c r="F446" s="28"/>
    </row>
    <row r="447" spans="1:6" ht="13.5">
      <c r="A447" s="278" t="s">
        <v>42</v>
      </c>
      <c r="B447" s="57" t="s">
        <v>731</v>
      </c>
      <c r="C447" s="277" t="s">
        <v>540</v>
      </c>
      <c r="D447" s="69">
        <v>3</v>
      </c>
      <c r="E447" s="40"/>
      <c r="F447" s="28"/>
    </row>
    <row r="448" spans="1:6" ht="13.5">
      <c r="A448" s="278" t="s">
        <v>43</v>
      </c>
      <c r="B448" s="57" t="s">
        <v>732</v>
      </c>
      <c r="C448" s="277" t="s">
        <v>540</v>
      </c>
      <c r="D448" s="69">
        <v>1</v>
      </c>
      <c r="E448" s="40"/>
      <c r="F448" s="28"/>
    </row>
    <row r="449" spans="1:6" ht="9" customHeight="1">
      <c r="A449" s="73"/>
      <c r="C449" s="277"/>
      <c r="D449" s="69"/>
      <c r="E449" s="40"/>
      <c r="F449" s="28"/>
    </row>
    <row r="450" spans="1:6" ht="12.75">
      <c r="A450" s="73"/>
      <c r="B450" s="57" t="s">
        <v>566</v>
      </c>
      <c r="C450" s="277"/>
      <c r="D450" s="69"/>
      <c r="E450" s="40"/>
      <c r="F450" s="28"/>
    </row>
    <row r="451" spans="1:6" ht="12.75">
      <c r="A451" s="73" t="s">
        <v>19</v>
      </c>
      <c r="B451" s="67" t="s">
        <v>287</v>
      </c>
      <c r="C451" s="277"/>
      <c r="D451" s="69"/>
      <c r="E451" s="40"/>
      <c r="F451" s="28"/>
    </row>
    <row r="452" spans="1:6" ht="12.75">
      <c r="A452" s="278" t="s">
        <v>44</v>
      </c>
      <c r="B452" s="7" t="s">
        <v>733</v>
      </c>
      <c r="C452" s="277" t="s">
        <v>540</v>
      </c>
      <c r="D452" s="69">
        <v>6</v>
      </c>
      <c r="E452" s="40"/>
      <c r="F452" s="28"/>
    </row>
    <row r="453" spans="1:6" ht="12.75">
      <c r="A453" s="278" t="s">
        <v>48</v>
      </c>
      <c r="B453" s="7" t="s">
        <v>734</v>
      </c>
      <c r="C453" s="277" t="s">
        <v>540</v>
      </c>
      <c r="D453" s="69">
        <v>3</v>
      </c>
      <c r="E453" s="40"/>
      <c r="F453" s="28"/>
    </row>
    <row r="454" spans="1:6" ht="12.75">
      <c r="A454" s="73" t="s">
        <v>76</v>
      </c>
      <c r="B454" s="67" t="s">
        <v>157</v>
      </c>
      <c r="C454" s="277"/>
      <c r="D454" s="69"/>
      <c r="E454" s="40"/>
      <c r="F454" s="28"/>
    </row>
    <row r="455" spans="1:6" ht="12.75">
      <c r="A455" s="278" t="s">
        <v>49</v>
      </c>
      <c r="B455" s="7" t="s">
        <v>735</v>
      </c>
      <c r="C455" s="277" t="s">
        <v>540</v>
      </c>
      <c r="D455" s="69">
        <v>9</v>
      </c>
      <c r="E455" s="40"/>
      <c r="F455" s="28"/>
    </row>
    <row r="456" spans="1:6" ht="12.75">
      <c r="A456" s="278" t="s">
        <v>50</v>
      </c>
      <c r="B456" s="7" t="s">
        <v>733</v>
      </c>
      <c r="C456" s="277" t="s">
        <v>540</v>
      </c>
      <c r="D456" s="69">
        <v>7</v>
      </c>
      <c r="E456" s="40"/>
      <c r="F456" s="28"/>
    </row>
    <row r="457" spans="1:6" ht="45" customHeight="1">
      <c r="A457" s="278" t="s">
        <v>51</v>
      </c>
      <c r="B457" s="7" t="s">
        <v>736</v>
      </c>
      <c r="C457" s="277" t="s">
        <v>540</v>
      </c>
      <c r="D457" s="69">
        <v>7</v>
      </c>
      <c r="E457" s="40"/>
      <c r="F457" s="28"/>
    </row>
    <row r="458" spans="1:6" ht="12.75">
      <c r="A458" s="278" t="s">
        <v>53</v>
      </c>
      <c r="B458" s="7" t="s">
        <v>737</v>
      </c>
      <c r="C458" s="277" t="s">
        <v>540</v>
      </c>
      <c r="D458" s="69">
        <v>1</v>
      </c>
      <c r="E458" s="40"/>
      <c r="F458" s="28"/>
    </row>
    <row r="459" spans="1:6" ht="12.75">
      <c r="A459" s="278" t="s">
        <v>93</v>
      </c>
      <c r="B459" s="57" t="s">
        <v>738</v>
      </c>
      <c r="C459" s="277" t="s">
        <v>540</v>
      </c>
      <c r="D459" s="69">
        <v>2</v>
      </c>
      <c r="E459" s="40"/>
      <c r="F459" s="28"/>
    </row>
    <row r="460" spans="1:6" ht="12.75">
      <c r="A460" s="73" t="s">
        <v>194</v>
      </c>
      <c r="B460" s="67" t="s">
        <v>564</v>
      </c>
      <c r="C460" s="277"/>
      <c r="D460" s="69"/>
      <c r="E460" s="40"/>
      <c r="F460" s="28"/>
    </row>
    <row r="461" spans="1:6" ht="12.75">
      <c r="A461" s="278" t="s">
        <v>94</v>
      </c>
      <c r="B461" s="7" t="s">
        <v>735</v>
      </c>
      <c r="C461" s="277" t="s">
        <v>540</v>
      </c>
      <c r="D461" s="69">
        <v>10</v>
      </c>
      <c r="E461" s="40"/>
      <c r="F461" s="28"/>
    </row>
    <row r="462" spans="1:6" ht="43.5" customHeight="1">
      <c r="A462" s="278" t="s">
        <v>165</v>
      </c>
      <c r="B462" s="280" t="s">
        <v>628</v>
      </c>
      <c r="C462" s="277" t="s">
        <v>540</v>
      </c>
      <c r="D462" s="69">
        <v>1</v>
      </c>
      <c r="E462" s="40"/>
      <c r="F462" s="28"/>
    </row>
    <row r="463" spans="1:6" ht="12.75">
      <c r="A463" s="278" t="s">
        <v>166</v>
      </c>
      <c r="B463" s="7" t="s">
        <v>734</v>
      </c>
      <c r="C463" s="277" t="s">
        <v>540</v>
      </c>
      <c r="D463" s="69">
        <v>7</v>
      </c>
      <c r="E463" s="40"/>
      <c r="F463" s="28"/>
    </row>
    <row r="464" spans="1:6" ht="12.75">
      <c r="A464" s="278" t="s">
        <v>237</v>
      </c>
      <c r="B464" s="7" t="s">
        <v>739</v>
      </c>
      <c r="C464" s="277" t="s">
        <v>540</v>
      </c>
      <c r="D464" s="69">
        <v>4</v>
      </c>
      <c r="E464" s="40"/>
      <c r="F464" s="28"/>
    </row>
    <row r="465" spans="1:6" ht="12.75">
      <c r="A465" s="73"/>
      <c r="B465" s="67"/>
      <c r="C465" s="277"/>
      <c r="D465" s="69"/>
      <c r="E465" s="40"/>
      <c r="F465" s="28"/>
    </row>
    <row r="466" spans="1:6" ht="131.25" customHeight="1">
      <c r="A466" s="58">
        <f>A433+1</f>
        <v>729</v>
      </c>
      <c r="B466" s="44" t="s">
        <v>817</v>
      </c>
      <c r="C466" s="277"/>
      <c r="D466" s="69"/>
      <c r="E466" s="40"/>
      <c r="F466" s="28"/>
    </row>
    <row r="467" spans="1:6" ht="92.25" customHeight="1">
      <c r="A467" s="73"/>
      <c r="B467" s="44" t="s">
        <v>740</v>
      </c>
      <c r="C467" s="277"/>
      <c r="D467" s="69"/>
      <c r="E467" s="40"/>
      <c r="F467" s="28"/>
    </row>
    <row r="468" spans="1:6" ht="29.25" customHeight="1">
      <c r="A468" s="73"/>
      <c r="B468" s="7" t="s">
        <v>591</v>
      </c>
      <c r="C468" s="277"/>
      <c r="D468" s="69"/>
      <c r="E468" s="40"/>
      <c r="F468" s="28"/>
    </row>
    <row r="469" spans="1:2" ht="15" customHeight="1">
      <c r="A469" s="58"/>
      <c r="B469" s="57" t="s">
        <v>539</v>
      </c>
    </row>
    <row r="470" spans="1:6" ht="12.75">
      <c r="A470" s="73"/>
      <c r="B470" s="57" t="s">
        <v>565</v>
      </c>
      <c r="C470" s="277"/>
      <c r="D470" s="69"/>
      <c r="E470" s="40"/>
      <c r="F470" s="28"/>
    </row>
    <row r="471" spans="1:6" ht="12.75">
      <c r="A471" s="73" t="s">
        <v>19</v>
      </c>
      <c r="B471" s="67" t="s">
        <v>287</v>
      </c>
      <c r="C471" s="277"/>
      <c r="D471" s="69"/>
      <c r="E471" s="40"/>
      <c r="F471" s="28"/>
    </row>
    <row r="472" spans="1:6" ht="12.75">
      <c r="A472" s="278" t="s">
        <v>39</v>
      </c>
      <c r="B472" s="7" t="s">
        <v>741</v>
      </c>
      <c r="C472" s="277" t="s">
        <v>540</v>
      </c>
      <c r="D472" s="69">
        <v>2</v>
      </c>
      <c r="E472" s="40"/>
      <c r="F472" s="28"/>
    </row>
    <row r="473" spans="1:6" ht="12.75">
      <c r="A473" s="73" t="s">
        <v>76</v>
      </c>
      <c r="B473" s="67" t="s">
        <v>157</v>
      </c>
      <c r="C473" s="277"/>
      <c r="D473" s="69"/>
      <c r="E473" s="40"/>
      <c r="F473" s="28"/>
    </row>
    <row r="474" spans="1:6" ht="40.5" customHeight="1">
      <c r="A474" s="278" t="s">
        <v>40</v>
      </c>
      <c r="B474" s="280" t="s">
        <v>742</v>
      </c>
      <c r="C474" s="277" t="s">
        <v>540</v>
      </c>
      <c r="D474" s="69">
        <v>1</v>
      </c>
      <c r="E474" s="40"/>
      <c r="F474" s="28"/>
    </row>
    <row r="475" spans="1:6" ht="12.75">
      <c r="A475" s="73"/>
      <c r="B475" s="67"/>
      <c r="C475" s="277"/>
      <c r="D475" s="69"/>
      <c r="E475" s="40"/>
      <c r="F475" s="28"/>
    </row>
    <row r="476" spans="1:6" ht="127.5">
      <c r="A476" s="58">
        <f>A466+1</f>
        <v>730</v>
      </c>
      <c r="B476" s="145" t="s">
        <v>804</v>
      </c>
      <c r="C476" s="277"/>
      <c r="D476" s="69"/>
      <c r="E476" s="40"/>
      <c r="F476" s="28"/>
    </row>
    <row r="477" spans="1:6" ht="89.25">
      <c r="A477" s="73"/>
      <c r="B477" s="145" t="s">
        <v>819</v>
      </c>
      <c r="C477" s="277"/>
      <c r="D477" s="69"/>
      <c r="E477" s="40"/>
      <c r="F477" s="28"/>
    </row>
    <row r="478" spans="1:6" ht="25.5">
      <c r="A478" s="73"/>
      <c r="B478" s="7" t="s">
        <v>591</v>
      </c>
      <c r="C478" s="277"/>
      <c r="D478" s="69"/>
      <c r="E478" s="40"/>
      <c r="F478" s="28"/>
    </row>
    <row r="479" spans="1:2" ht="12.75">
      <c r="A479" s="58"/>
      <c r="B479" s="57" t="s">
        <v>820</v>
      </c>
    </row>
    <row r="480" spans="1:6" ht="12.75">
      <c r="A480" s="73" t="s">
        <v>19</v>
      </c>
      <c r="B480" s="67" t="s">
        <v>287</v>
      </c>
      <c r="C480" s="277"/>
      <c r="D480" s="69"/>
      <c r="E480" s="40"/>
      <c r="F480" s="28"/>
    </row>
    <row r="481" spans="1:6" ht="13.5">
      <c r="A481" s="278"/>
      <c r="B481" s="7" t="s">
        <v>743</v>
      </c>
      <c r="C481" s="277" t="s">
        <v>540</v>
      </c>
      <c r="D481" s="69">
        <v>2</v>
      </c>
      <c r="E481" s="40"/>
      <c r="F481" s="28"/>
    </row>
    <row r="482" spans="1:6" ht="12.75">
      <c r="A482" s="73"/>
      <c r="B482" s="67"/>
      <c r="C482" s="277"/>
      <c r="D482" s="69"/>
      <c r="E482" s="40"/>
      <c r="F482" s="28"/>
    </row>
    <row r="483" spans="1:6" ht="12.75">
      <c r="A483" s="73"/>
      <c r="B483" s="67" t="s">
        <v>629</v>
      </c>
      <c r="C483" s="277"/>
      <c r="D483" s="69"/>
      <c r="E483" s="40"/>
      <c r="F483" s="28"/>
    </row>
    <row r="484" spans="1:6" ht="12.75">
      <c r="A484" s="73"/>
      <c r="B484" s="67"/>
      <c r="C484" s="277"/>
      <c r="D484" s="69"/>
      <c r="E484" s="40"/>
      <c r="F484" s="28"/>
    </row>
    <row r="485" spans="1:6" ht="140.25">
      <c r="A485" s="58">
        <f>A476+1</f>
        <v>731</v>
      </c>
      <c r="B485" s="44" t="s">
        <v>744</v>
      </c>
      <c r="C485" s="277"/>
      <c r="D485" s="69"/>
      <c r="E485" s="40"/>
      <c r="F485" s="28"/>
    </row>
    <row r="486" spans="1:6" ht="140.25">
      <c r="A486" s="73"/>
      <c r="B486" s="44" t="s">
        <v>821</v>
      </c>
      <c r="C486" s="277"/>
      <c r="D486" s="69"/>
      <c r="E486" s="40"/>
      <c r="F486" s="28"/>
    </row>
    <row r="487" spans="1:6" ht="28.5" customHeight="1">
      <c r="A487" s="73"/>
      <c r="B487" s="7" t="s">
        <v>591</v>
      </c>
      <c r="C487" s="277"/>
      <c r="D487" s="69"/>
      <c r="E487" s="40"/>
      <c r="F487" s="28"/>
    </row>
    <row r="488" spans="1:2" ht="15" customHeight="1">
      <c r="A488" s="58"/>
      <c r="B488" s="57" t="s">
        <v>539</v>
      </c>
    </row>
    <row r="489" spans="1:6" ht="12.75">
      <c r="A489" s="73" t="s">
        <v>19</v>
      </c>
      <c r="B489" s="67" t="s">
        <v>287</v>
      </c>
      <c r="C489" s="277"/>
      <c r="D489" s="69"/>
      <c r="E489" s="40"/>
      <c r="F489" s="28"/>
    </row>
    <row r="490" spans="1:6" ht="12.75">
      <c r="A490" s="278"/>
      <c r="B490" s="7" t="s">
        <v>745</v>
      </c>
      <c r="C490" s="277" t="s">
        <v>540</v>
      </c>
      <c r="D490" s="69">
        <v>1</v>
      </c>
      <c r="E490" s="40"/>
      <c r="F490" s="28"/>
    </row>
    <row r="491" spans="1:6" ht="12.75">
      <c r="A491" s="73"/>
      <c r="B491" s="67"/>
      <c r="C491" s="277"/>
      <c r="D491" s="69"/>
      <c r="E491" s="40"/>
      <c r="F491" s="28"/>
    </row>
    <row r="492" spans="1:6" ht="140.25">
      <c r="A492" s="58">
        <f>A485+1</f>
        <v>732</v>
      </c>
      <c r="B492" s="44" t="s">
        <v>824</v>
      </c>
      <c r="C492" s="277"/>
      <c r="D492" s="69"/>
      <c r="E492" s="40"/>
      <c r="F492" s="28"/>
    </row>
    <row r="493" spans="1:6" ht="140.25">
      <c r="A493" s="73"/>
      <c r="B493" s="44" t="s">
        <v>821</v>
      </c>
      <c r="C493" s="277"/>
      <c r="D493" s="69"/>
      <c r="E493" s="40"/>
      <c r="F493" s="28"/>
    </row>
    <row r="494" spans="1:6" ht="28.5" customHeight="1">
      <c r="A494" s="73"/>
      <c r="B494" s="7" t="s">
        <v>591</v>
      </c>
      <c r="C494" s="277"/>
      <c r="D494" s="69"/>
      <c r="E494" s="40"/>
      <c r="F494" s="28"/>
    </row>
    <row r="495" spans="1:2" ht="15" customHeight="1">
      <c r="A495" s="58"/>
      <c r="B495" s="57" t="s">
        <v>539</v>
      </c>
    </row>
    <row r="496" spans="1:6" ht="12.75">
      <c r="A496" s="73" t="s">
        <v>19</v>
      </c>
      <c r="B496" s="67" t="s">
        <v>287</v>
      </c>
      <c r="C496" s="277"/>
      <c r="D496" s="69"/>
      <c r="E496" s="40"/>
      <c r="F496" s="28"/>
    </row>
    <row r="497" spans="1:6" ht="13.5">
      <c r="A497" s="278"/>
      <c r="B497" s="7" t="s">
        <v>746</v>
      </c>
      <c r="C497" s="277" t="s">
        <v>540</v>
      </c>
      <c r="D497" s="69">
        <v>1</v>
      </c>
      <c r="E497" s="40"/>
      <c r="F497" s="28"/>
    </row>
    <row r="498" spans="1:6" ht="12.75">
      <c r="A498" s="73"/>
      <c r="B498" s="67"/>
      <c r="C498" s="277"/>
      <c r="D498" s="69"/>
      <c r="E498" s="40"/>
      <c r="F498" s="28"/>
    </row>
    <row r="499" spans="1:6" ht="191.25">
      <c r="A499" s="73">
        <f>A492+1</f>
        <v>733</v>
      </c>
      <c r="B499" s="44" t="s">
        <v>818</v>
      </c>
      <c r="C499" s="277"/>
      <c r="D499" s="69"/>
      <c r="E499" s="40"/>
      <c r="F499" s="28"/>
    </row>
    <row r="500" spans="1:6" ht="25.5">
      <c r="A500" s="73"/>
      <c r="B500" s="44" t="s">
        <v>822</v>
      </c>
      <c r="C500" s="277"/>
      <c r="D500" s="69"/>
      <c r="E500" s="40"/>
      <c r="F500" s="28"/>
    </row>
    <row r="501" spans="1:6" ht="25.5">
      <c r="A501" s="73"/>
      <c r="B501" s="7" t="s">
        <v>591</v>
      </c>
      <c r="C501" s="277"/>
      <c r="D501" s="69"/>
      <c r="E501" s="40"/>
      <c r="F501" s="28"/>
    </row>
    <row r="502" spans="1:6" ht="12.75">
      <c r="A502" s="73"/>
      <c r="B502" s="57" t="s">
        <v>539</v>
      </c>
      <c r="C502" s="277"/>
      <c r="D502" s="69"/>
      <c r="E502" s="40"/>
      <c r="F502" s="28"/>
    </row>
    <row r="503" spans="1:6" ht="12.75">
      <c r="A503" s="73" t="s">
        <v>194</v>
      </c>
      <c r="B503" s="67" t="s">
        <v>564</v>
      </c>
      <c r="C503" s="277"/>
      <c r="D503" s="69"/>
      <c r="E503" s="40"/>
      <c r="F503" s="28"/>
    </row>
    <row r="504" spans="1:6" ht="12.75">
      <c r="A504" s="73"/>
      <c r="B504" s="7" t="s">
        <v>823</v>
      </c>
      <c r="C504" s="277" t="s">
        <v>540</v>
      </c>
      <c r="D504" s="69">
        <v>1</v>
      </c>
      <c r="E504" s="40"/>
      <c r="F504" s="28"/>
    </row>
    <row r="505" spans="1:6" ht="12.75">
      <c r="A505" s="73"/>
      <c r="B505" s="67"/>
      <c r="C505" s="277"/>
      <c r="D505" s="69"/>
      <c r="E505" s="40"/>
      <c r="F505" s="28"/>
    </row>
    <row r="506" spans="1:6" ht="12.75">
      <c r="A506" s="73"/>
      <c r="B506" s="67" t="s">
        <v>630</v>
      </c>
      <c r="C506" s="277"/>
      <c r="D506" s="69"/>
      <c r="E506" s="40"/>
      <c r="F506" s="28"/>
    </row>
    <row r="507" spans="1:6" ht="140.25">
      <c r="A507" s="58">
        <f>A499+1</f>
        <v>734</v>
      </c>
      <c r="B507" s="44" t="s">
        <v>805</v>
      </c>
      <c r="C507" s="277"/>
      <c r="D507" s="69"/>
      <c r="E507" s="40"/>
      <c r="F507" s="28"/>
    </row>
    <row r="508" spans="1:6" ht="76.5">
      <c r="A508" s="73"/>
      <c r="B508" s="44" t="s">
        <v>806</v>
      </c>
      <c r="C508" s="277"/>
      <c r="D508" s="69"/>
      <c r="E508" s="40"/>
      <c r="F508" s="28"/>
    </row>
    <row r="509" spans="1:6" ht="25.5">
      <c r="A509" s="73"/>
      <c r="B509" s="7" t="s">
        <v>591</v>
      </c>
      <c r="C509" s="277"/>
      <c r="D509" s="69"/>
      <c r="E509" s="40"/>
      <c r="F509" s="28"/>
    </row>
    <row r="510" spans="1:2" ht="15" customHeight="1">
      <c r="A510" s="58"/>
      <c r="B510" s="57" t="s">
        <v>539</v>
      </c>
    </row>
    <row r="511" spans="1:6" ht="12.75">
      <c r="A511" s="73" t="s">
        <v>194</v>
      </c>
      <c r="B511" s="67" t="s">
        <v>564</v>
      </c>
      <c r="C511" s="277"/>
      <c r="D511" s="69"/>
      <c r="E511" s="40"/>
      <c r="F511" s="28"/>
    </row>
    <row r="512" spans="1:6" ht="12.75">
      <c r="A512" s="278"/>
      <c r="B512" s="7" t="s">
        <v>747</v>
      </c>
      <c r="C512" s="277" t="s">
        <v>540</v>
      </c>
      <c r="D512" s="69">
        <v>9</v>
      </c>
      <c r="E512" s="40"/>
      <c r="F512" s="28"/>
    </row>
    <row r="513" spans="1:6" ht="12.75">
      <c r="A513" s="278"/>
      <c r="B513" s="7"/>
      <c r="C513" s="277"/>
      <c r="D513" s="69"/>
      <c r="E513" s="40"/>
      <c r="F513" s="28"/>
    </row>
    <row r="514" spans="1:6" ht="12.75">
      <c r="A514" s="278"/>
      <c r="B514" s="11" t="s">
        <v>1302</v>
      </c>
      <c r="C514" s="277"/>
      <c r="D514" s="69"/>
      <c r="E514" s="40"/>
      <c r="F514" s="28"/>
    </row>
    <row r="515" spans="1:6" ht="119.25" customHeight="1">
      <c r="A515" s="58">
        <f>A507+1</f>
        <v>735</v>
      </c>
      <c r="B515" s="44" t="s">
        <v>807</v>
      </c>
      <c r="C515" s="277"/>
      <c r="D515" s="69"/>
      <c r="E515" s="40"/>
      <c r="F515" s="28"/>
    </row>
    <row r="516" spans="1:6" ht="92.25" customHeight="1">
      <c r="A516" s="58"/>
      <c r="B516" s="44" t="s">
        <v>808</v>
      </c>
      <c r="C516" s="277"/>
      <c r="D516" s="69"/>
      <c r="E516" s="40"/>
      <c r="F516" s="28"/>
    </row>
    <row r="517" spans="1:6" ht="25.5">
      <c r="A517" s="73"/>
      <c r="B517" s="7" t="s">
        <v>591</v>
      </c>
      <c r="C517" s="277"/>
      <c r="D517" s="69"/>
      <c r="E517" s="40"/>
      <c r="F517" s="28"/>
    </row>
    <row r="518" spans="1:2" ht="15" customHeight="1">
      <c r="A518" s="58"/>
      <c r="B518" s="57" t="s">
        <v>539</v>
      </c>
    </row>
    <row r="519" spans="1:6" ht="12.75">
      <c r="A519" s="73" t="s">
        <v>19</v>
      </c>
      <c r="B519" s="67" t="s">
        <v>287</v>
      </c>
      <c r="C519" s="277"/>
      <c r="D519" s="69"/>
      <c r="E519" s="40"/>
      <c r="F519" s="28"/>
    </row>
    <row r="520" spans="1:6" ht="12.75">
      <c r="A520" s="278"/>
      <c r="B520" s="7" t="s">
        <v>809</v>
      </c>
      <c r="C520" s="277" t="s">
        <v>540</v>
      </c>
      <c r="D520" s="69">
        <v>1</v>
      </c>
      <c r="E520" s="40"/>
      <c r="F520" s="28"/>
    </row>
    <row r="521" spans="1:6" ht="12.75">
      <c r="A521" s="73" t="s">
        <v>76</v>
      </c>
      <c r="B521" s="67" t="s">
        <v>157</v>
      </c>
      <c r="C521" s="277"/>
      <c r="D521" s="69"/>
      <c r="E521" s="40"/>
      <c r="F521" s="28"/>
    </row>
    <row r="522" spans="1:6" ht="12.75">
      <c r="A522" s="278"/>
      <c r="B522" s="7" t="s">
        <v>1303</v>
      </c>
      <c r="C522" s="277" t="s">
        <v>540</v>
      </c>
      <c r="D522" s="69">
        <v>10</v>
      </c>
      <c r="E522" s="40"/>
      <c r="F522" s="28"/>
    </row>
    <row r="523" spans="1:6" ht="12.75">
      <c r="A523" s="278"/>
      <c r="B523" s="7"/>
      <c r="C523" s="277"/>
      <c r="D523" s="69"/>
      <c r="E523" s="40"/>
      <c r="F523" s="28"/>
    </row>
    <row r="524" spans="1:6" ht="119.25" customHeight="1">
      <c r="A524" s="58">
        <f>A515+1</f>
        <v>736</v>
      </c>
      <c r="B524" s="44" t="s">
        <v>1304</v>
      </c>
      <c r="C524" s="277"/>
      <c r="D524" s="69"/>
      <c r="E524" s="40"/>
      <c r="F524" s="28"/>
    </row>
    <row r="525" spans="1:6" ht="146.25" customHeight="1">
      <c r="A525" s="278"/>
      <c r="B525" s="7" t="s">
        <v>1305</v>
      </c>
      <c r="C525" s="277"/>
      <c r="D525" s="69"/>
      <c r="E525" s="40"/>
      <c r="F525" s="28"/>
    </row>
    <row r="526" spans="1:6" ht="89.25">
      <c r="A526" s="278"/>
      <c r="B526" s="7" t="s">
        <v>1453</v>
      </c>
      <c r="C526" s="277"/>
      <c r="D526" s="69"/>
      <c r="E526" s="40"/>
      <c r="F526" s="28"/>
    </row>
    <row r="527" spans="1:6" ht="25.5">
      <c r="A527" s="73"/>
      <c r="B527" s="7" t="s">
        <v>591</v>
      </c>
      <c r="C527" s="277"/>
      <c r="D527" s="69"/>
      <c r="E527" s="40"/>
      <c r="F527" s="28"/>
    </row>
    <row r="528" spans="1:2" ht="15" customHeight="1">
      <c r="A528" s="58"/>
      <c r="B528" s="57" t="s">
        <v>539</v>
      </c>
    </row>
    <row r="529" spans="1:6" ht="12.75">
      <c r="A529" s="73" t="s">
        <v>194</v>
      </c>
      <c r="B529" s="67" t="s">
        <v>564</v>
      </c>
      <c r="C529" s="277"/>
      <c r="D529" s="69"/>
      <c r="E529" s="40"/>
      <c r="F529" s="28"/>
    </row>
    <row r="530" spans="1:6" ht="12.75">
      <c r="A530" s="278"/>
      <c r="B530" s="7" t="s">
        <v>1306</v>
      </c>
      <c r="C530" s="277" t="s">
        <v>540</v>
      </c>
      <c r="D530" s="69">
        <v>1</v>
      </c>
      <c r="E530" s="40"/>
      <c r="F530" s="28"/>
    </row>
    <row r="531" spans="1:6" ht="12.75">
      <c r="A531" s="278"/>
      <c r="B531" s="7"/>
      <c r="C531" s="277"/>
      <c r="D531" s="69"/>
      <c r="E531" s="40"/>
      <c r="F531" s="28"/>
    </row>
    <row r="532" spans="1:6" ht="12.75">
      <c r="A532" s="73"/>
      <c r="B532" s="67" t="s">
        <v>631</v>
      </c>
      <c r="C532" s="277"/>
      <c r="D532" s="69"/>
      <c r="E532" s="40"/>
      <c r="F532" s="28"/>
    </row>
    <row r="533" spans="1:6" ht="12.75">
      <c r="A533" s="73"/>
      <c r="B533" s="44" t="s">
        <v>559</v>
      </c>
      <c r="C533" s="277"/>
      <c r="D533" s="69"/>
      <c r="E533" s="40"/>
      <c r="F533" s="28"/>
    </row>
    <row r="534" spans="1:6" ht="66.75" customHeight="1">
      <c r="A534" s="58">
        <f>A524+1</f>
        <v>737</v>
      </c>
      <c r="B534" s="44" t="s">
        <v>632</v>
      </c>
      <c r="C534" s="277"/>
      <c r="D534" s="69"/>
      <c r="E534" s="40"/>
      <c r="F534" s="28"/>
    </row>
    <row r="535" spans="1:6" ht="102">
      <c r="A535" s="73"/>
      <c r="B535" s="44" t="s">
        <v>633</v>
      </c>
      <c r="C535" s="277"/>
      <c r="D535" s="69"/>
      <c r="E535" s="40"/>
      <c r="F535" s="28"/>
    </row>
    <row r="536" spans="1:6" ht="25.5">
      <c r="A536" s="73"/>
      <c r="B536" s="7" t="s">
        <v>591</v>
      </c>
      <c r="C536" s="277"/>
      <c r="D536" s="69"/>
      <c r="E536" s="40"/>
      <c r="F536" s="28"/>
    </row>
    <row r="537" spans="1:2" ht="15" customHeight="1">
      <c r="A537" s="58"/>
      <c r="B537" s="57" t="s">
        <v>539</v>
      </c>
    </row>
    <row r="538" spans="1:6" ht="12.75">
      <c r="A538" s="73" t="s">
        <v>19</v>
      </c>
      <c r="B538" s="67" t="s">
        <v>287</v>
      </c>
      <c r="C538" s="277"/>
      <c r="D538" s="69"/>
      <c r="E538" s="40"/>
      <c r="F538" s="28"/>
    </row>
    <row r="539" spans="1:6" ht="12.75">
      <c r="A539" s="278" t="s">
        <v>39</v>
      </c>
      <c r="B539" s="7" t="s">
        <v>748</v>
      </c>
      <c r="C539" s="277" t="s">
        <v>540</v>
      </c>
      <c r="D539" s="69">
        <v>2</v>
      </c>
      <c r="E539" s="40"/>
      <c r="F539" s="28"/>
    </row>
    <row r="540" spans="1:6" ht="13.5">
      <c r="A540" s="278" t="s">
        <v>40</v>
      </c>
      <c r="B540" s="7" t="s">
        <v>749</v>
      </c>
      <c r="C540" s="277" t="s">
        <v>540</v>
      </c>
      <c r="D540" s="69">
        <v>2</v>
      </c>
      <c r="E540" s="40"/>
      <c r="F540" s="28"/>
    </row>
    <row r="541" spans="1:6" ht="12.75">
      <c r="A541" s="73" t="s">
        <v>76</v>
      </c>
      <c r="B541" s="67" t="s">
        <v>157</v>
      </c>
      <c r="C541" s="277"/>
      <c r="D541" s="69"/>
      <c r="E541" s="40"/>
      <c r="F541" s="28"/>
    </row>
    <row r="542" spans="1:6" ht="12.75">
      <c r="A542" s="278" t="s">
        <v>41</v>
      </c>
      <c r="B542" s="7" t="s">
        <v>750</v>
      </c>
      <c r="C542" s="277" t="s">
        <v>540</v>
      </c>
      <c r="D542" s="69">
        <v>2</v>
      </c>
      <c r="E542" s="40"/>
      <c r="F542" s="28"/>
    </row>
    <row r="543" spans="1:6" ht="13.5">
      <c r="A543" s="278" t="s">
        <v>42</v>
      </c>
      <c r="B543" s="7" t="s">
        <v>751</v>
      </c>
      <c r="C543" s="277" t="s">
        <v>540</v>
      </c>
      <c r="D543" s="69">
        <v>3</v>
      </c>
      <c r="E543" s="40"/>
      <c r="F543" s="28"/>
    </row>
    <row r="544" spans="1:6" ht="12.75">
      <c r="A544" s="278" t="s">
        <v>43</v>
      </c>
      <c r="B544" s="7" t="s">
        <v>752</v>
      </c>
      <c r="C544" s="277" t="s">
        <v>540</v>
      </c>
      <c r="D544" s="69">
        <v>1</v>
      </c>
      <c r="E544" s="40"/>
      <c r="F544" s="28"/>
    </row>
    <row r="545" spans="1:6" ht="13.5">
      <c r="A545" s="278" t="s">
        <v>45</v>
      </c>
      <c r="B545" s="7" t="s">
        <v>753</v>
      </c>
      <c r="C545" s="277" t="s">
        <v>540</v>
      </c>
      <c r="D545" s="69">
        <v>1</v>
      </c>
      <c r="E545" s="40"/>
      <c r="F545" s="28"/>
    </row>
    <row r="546" spans="1:6" ht="12.75">
      <c r="A546" s="278" t="s">
        <v>44</v>
      </c>
      <c r="B546" s="7" t="s">
        <v>754</v>
      </c>
      <c r="C546" s="277" t="s">
        <v>540</v>
      </c>
      <c r="D546" s="69">
        <v>1</v>
      </c>
      <c r="E546" s="40"/>
      <c r="F546" s="28"/>
    </row>
    <row r="547" spans="1:6" ht="12.75">
      <c r="A547" s="278" t="s">
        <v>48</v>
      </c>
      <c r="B547" s="7" t="s">
        <v>755</v>
      </c>
      <c r="C547" s="277" t="s">
        <v>540</v>
      </c>
      <c r="D547" s="69">
        <v>1</v>
      </c>
      <c r="E547" s="40"/>
      <c r="F547" s="28"/>
    </row>
    <row r="548" spans="1:6" ht="13.5">
      <c r="A548" s="278" t="s">
        <v>49</v>
      </c>
      <c r="B548" s="7" t="s">
        <v>756</v>
      </c>
      <c r="C548" s="277" t="s">
        <v>540</v>
      </c>
      <c r="D548" s="69">
        <v>1</v>
      </c>
      <c r="E548" s="40"/>
      <c r="F548" s="28"/>
    </row>
    <row r="549" spans="1:6" ht="12.75">
      <c r="A549" s="278" t="s">
        <v>50</v>
      </c>
      <c r="B549" s="7" t="s">
        <v>757</v>
      </c>
      <c r="C549" s="277" t="s">
        <v>540</v>
      </c>
      <c r="D549" s="69">
        <v>1</v>
      </c>
      <c r="E549" s="40"/>
      <c r="F549" s="28"/>
    </row>
    <row r="550" spans="1:6" ht="13.5">
      <c r="A550" s="278" t="s">
        <v>51</v>
      </c>
      <c r="B550" s="7" t="s">
        <v>758</v>
      </c>
      <c r="C550" s="277" t="s">
        <v>540</v>
      </c>
      <c r="D550" s="69">
        <v>1</v>
      </c>
      <c r="E550" s="40"/>
      <c r="F550" s="28"/>
    </row>
    <row r="551" spans="1:6" ht="12.75">
      <c r="A551" s="278" t="s">
        <v>53</v>
      </c>
      <c r="B551" s="7" t="s">
        <v>759</v>
      </c>
      <c r="C551" s="277" t="s">
        <v>540</v>
      </c>
      <c r="D551" s="69">
        <v>1</v>
      </c>
      <c r="E551" s="40"/>
      <c r="F551" s="28"/>
    </row>
    <row r="552" spans="1:6" ht="13.5">
      <c r="A552" s="278" t="s">
        <v>93</v>
      </c>
      <c r="B552" s="7" t="s">
        <v>760</v>
      </c>
      <c r="C552" s="277" t="s">
        <v>540</v>
      </c>
      <c r="D552" s="69">
        <v>1</v>
      </c>
      <c r="E552" s="40"/>
      <c r="F552" s="28"/>
    </row>
    <row r="553" spans="1:6" ht="12.75">
      <c r="A553" s="278" t="s">
        <v>94</v>
      </c>
      <c r="B553" s="7" t="s">
        <v>761</v>
      </c>
      <c r="C553" s="277" t="s">
        <v>540</v>
      </c>
      <c r="D553" s="69">
        <v>2</v>
      </c>
      <c r="E553" s="40"/>
      <c r="F553" s="28"/>
    </row>
    <row r="554" spans="1:6" ht="12.75">
      <c r="A554" s="73" t="s">
        <v>194</v>
      </c>
      <c r="B554" s="67" t="s">
        <v>564</v>
      </c>
      <c r="C554" s="277"/>
      <c r="D554" s="69"/>
      <c r="E554" s="40"/>
      <c r="F554" s="28"/>
    </row>
    <row r="555" spans="1:6" ht="12.75">
      <c r="A555" s="278" t="s">
        <v>165</v>
      </c>
      <c r="B555" s="7" t="s">
        <v>762</v>
      </c>
      <c r="C555" s="277" t="s">
        <v>540</v>
      </c>
      <c r="D555" s="69">
        <v>1</v>
      </c>
      <c r="E555" s="40"/>
      <c r="F555" s="28"/>
    </row>
    <row r="556" spans="1:6" ht="13.5">
      <c r="A556" s="278" t="s">
        <v>166</v>
      </c>
      <c r="B556" s="7" t="s">
        <v>763</v>
      </c>
      <c r="C556" s="277" t="s">
        <v>540</v>
      </c>
      <c r="D556" s="69">
        <v>1</v>
      </c>
      <c r="E556" s="40"/>
      <c r="F556" s="28"/>
    </row>
    <row r="557" spans="1:6" ht="12.75">
      <c r="A557" s="278" t="s">
        <v>237</v>
      </c>
      <c r="B557" s="7" t="s">
        <v>764</v>
      </c>
      <c r="C557" s="277" t="s">
        <v>540</v>
      </c>
      <c r="D557" s="69">
        <v>3</v>
      </c>
      <c r="E557" s="40"/>
      <c r="F557" s="28"/>
    </row>
    <row r="558" spans="1:6" ht="13.5">
      <c r="A558" s="278" t="s">
        <v>238</v>
      </c>
      <c r="B558" s="7" t="s">
        <v>765</v>
      </c>
      <c r="C558" s="277" t="s">
        <v>540</v>
      </c>
      <c r="D558" s="69">
        <v>3</v>
      </c>
      <c r="E558" s="40"/>
      <c r="F558" s="28"/>
    </row>
    <row r="559" spans="1:6" ht="12.75">
      <c r="A559" s="73"/>
      <c r="B559" s="67"/>
      <c r="C559" s="277"/>
      <c r="D559" s="69"/>
      <c r="E559" s="40"/>
      <c r="F559" s="28"/>
    </row>
    <row r="560" spans="1:6" ht="12.75">
      <c r="A560" s="73"/>
      <c r="B560" s="67" t="s">
        <v>634</v>
      </c>
      <c r="C560" s="277"/>
      <c r="D560" s="69"/>
      <c r="E560" s="40"/>
      <c r="F560" s="28"/>
    </row>
    <row r="561" spans="1:6" ht="76.5">
      <c r="A561" s="58">
        <f>A534+1</f>
        <v>738</v>
      </c>
      <c r="B561" s="44" t="s">
        <v>1454</v>
      </c>
      <c r="C561" s="277"/>
      <c r="D561" s="69"/>
      <c r="E561" s="40"/>
      <c r="F561" s="28"/>
    </row>
    <row r="562" spans="1:6" ht="51">
      <c r="A562" s="73"/>
      <c r="B562" s="44" t="s">
        <v>810</v>
      </c>
      <c r="C562" s="277"/>
      <c r="D562" s="69"/>
      <c r="E562" s="40"/>
      <c r="F562" s="28"/>
    </row>
    <row r="563" spans="1:6" ht="25.5">
      <c r="A563" s="73"/>
      <c r="B563" s="7" t="s">
        <v>635</v>
      </c>
      <c r="C563" s="277"/>
      <c r="D563" s="69"/>
      <c r="E563" s="40"/>
      <c r="F563" s="28"/>
    </row>
    <row r="564" spans="1:2" ht="15" customHeight="1">
      <c r="A564" s="58"/>
      <c r="B564" s="57" t="s">
        <v>636</v>
      </c>
    </row>
    <row r="565" spans="1:6" ht="12.75">
      <c r="A565" s="54" t="s">
        <v>39</v>
      </c>
      <c r="B565" s="67" t="s">
        <v>766</v>
      </c>
      <c r="C565" s="277" t="s">
        <v>502</v>
      </c>
      <c r="D565" s="69">
        <v>29.35</v>
      </c>
      <c r="E565" s="40"/>
      <c r="F565" s="28"/>
    </row>
    <row r="566" spans="1:6" ht="12.75">
      <c r="A566" s="54" t="s">
        <v>40</v>
      </c>
      <c r="B566" s="67" t="s">
        <v>767</v>
      </c>
      <c r="C566" s="277" t="s">
        <v>502</v>
      </c>
      <c r="D566" s="69">
        <v>26.97</v>
      </c>
      <c r="E566" s="40"/>
      <c r="F566" s="28"/>
    </row>
    <row r="567" spans="1:6" ht="12.75">
      <c r="A567" s="54" t="s">
        <v>41</v>
      </c>
      <c r="B567" s="67" t="s">
        <v>768</v>
      </c>
      <c r="C567" s="277" t="s">
        <v>502</v>
      </c>
      <c r="D567" s="69">
        <v>20.76</v>
      </c>
      <c r="E567" s="40"/>
      <c r="F567" s="28"/>
    </row>
    <row r="568" spans="1:6" ht="12.75">
      <c r="A568" s="54" t="s">
        <v>42</v>
      </c>
      <c r="B568" s="67" t="s">
        <v>769</v>
      </c>
      <c r="C568" s="277" t="s">
        <v>502</v>
      </c>
      <c r="D568" s="69">
        <v>19.15</v>
      </c>
      <c r="E568" s="40"/>
      <c r="F568" s="28"/>
    </row>
    <row r="569" spans="1:6" ht="12.75">
      <c r="A569" s="54" t="s">
        <v>43</v>
      </c>
      <c r="B569" s="67" t="s">
        <v>770</v>
      </c>
      <c r="C569" s="277" t="s">
        <v>502</v>
      </c>
      <c r="D569" s="69">
        <v>18.9</v>
      </c>
      <c r="E569" s="40"/>
      <c r="F569" s="28"/>
    </row>
    <row r="570" spans="1:6" ht="12.75">
      <c r="A570" s="73"/>
      <c r="B570" s="67"/>
      <c r="C570" s="277"/>
      <c r="D570" s="69"/>
      <c r="E570" s="40"/>
      <c r="F570" s="28"/>
    </row>
    <row r="571" spans="1:6" ht="102">
      <c r="A571" s="58">
        <f>A561+1</f>
        <v>739</v>
      </c>
      <c r="B571" s="44" t="s">
        <v>811</v>
      </c>
      <c r="C571" s="277"/>
      <c r="D571" s="69"/>
      <c r="E571" s="40"/>
      <c r="F571" s="28"/>
    </row>
    <row r="572" spans="1:6" ht="51">
      <c r="A572" s="73"/>
      <c r="B572" s="44" t="s">
        <v>812</v>
      </c>
      <c r="C572" s="277"/>
      <c r="D572" s="69"/>
      <c r="E572" s="40"/>
      <c r="F572" s="28"/>
    </row>
    <row r="573" spans="1:6" ht="25.5">
      <c r="A573" s="73"/>
      <c r="B573" s="7" t="s">
        <v>635</v>
      </c>
      <c r="C573" s="277"/>
      <c r="D573" s="69"/>
      <c r="E573" s="40"/>
      <c r="F573" s="28"/>
    </row>
    <row r="574" spans="1:2" ht="15" customHeight="1">
      <c r="A574" s="58"/>
      <c r="B574" s="57" t="s">
        <v>636</v>
      </c>
    </row>
    <row r="575" spans="1:6" ht="12.75">
      <c r="A575" s="54"/>
      <c r="B575" s="67" t="s">
        <v>771</v>
      </c>
      <c r="C575" s="277" t="s">
        <v>502</v>
      </c>
      <c r="D575" s="69">
        <v>51</v>
      </c>
      <c r="E575" s="40"/>
      <c r="F575" s="28"/>
    </row>
    <row r="576" spans="1:6" ht="12.75">
      <c r="A576" s="54"/>
      <c r="B576" s="67"/>
      <c r="C576" s="277"/>
      <c r="D576" s="69"/>
      <c r="E576" s="40"/>
      <c r="F576" s="28"/>
    </row>
    <row r="577" spans="1:6" ht="25.5">
      <c r="A577" s="58">
        <f>A571+1</f>
        <v>740</v>
      </c>
      <c r="B577" s="44" t="s">
        <v>1455</v>
      </c>
      <c r="C577" s="277"/>
      <c r="D577" s="69"/>
      <c r="E577" s="40"/>
      <c r="F577" s="28"/>
    </row>
    <row r="578" spans="1:6" ht="51">
      <c r="A578" s="54"/>
      <c r="B578" s="44" t="s">
        <v>1456</v>
      </c>
      <c r="C578" s="277"/>
      <c r="D578" s="69"/>
      <c r="E578" s="40"/>
      <c r="F578" s="28"/>
    </row>
    <row r="579" spans="1:6" ht="25.5">
      <c r="A579" s="73"/>
      <c r="B579" s="7" t="s">
        <v>635</v>
      </c>
      <c r="C579" s="277"/>
      <c r="D579" s="69"/>
      <c r="E579" s="40"/>
      <c r="F579" s="28"/>
    </row>
    <row r="580" spans="1:2" ht="12.75">
      <c r="A580" s="58"/>
      <c r="B580" s="57" t="s">
        <v>636</v>
      </c>
    </row>
    <row r="581" spans="1:6" ht="12.75">
      <c r="A581" s="54"/>
      <c r="B581" s="67" t="s">
        <v>772</v>
      </c>
      <c r="C581" s="277" t="s">
        <v>502</v>
      </c>
      <c r="D581" s="69">
        <v>21.15</v>
      </c>
      <c r="E581" s="40"/>
      <c r="F581" s="28"/>
    </row>
    <row r="582" spans="1:6" ht="12.75">
      <c r="A582" s="73"/>
      <c r="B582" s="67"/>
      <c r="C582" s="277"/>
      <c r="D582" s="69"/>
      <c r="E582" s="40"/>
      <c r="F582" s="28"/>
    </row>
    <row r="583" spans="1:6" ht="12.75">
      <c r="A583" s="73"/>
      <c r="B583" s="67" t="s">
        <v>637</v>
      </c>
      <c r="C583" s="277"/>
      <c r="D583" s="69"/>
      <c r="E583" s="40"/>
      <c r="F583" s="28"/>
    </row>
    <row r="584" spans="1:6" ht="89.25">
      <c r="A584" s="58">
        <f>A577+1</f>
        <v>741</v>
      </c>
      <c r="B584" s="44" t="s">
        <v>813</v>
      </c>
      <c r="C584" s="277"/>
      <c r="D584" s="69"/>
      <c r="E584" s="40"/>
      <c r="F584" s="28"/>
    </row>
    <row r="585" spans="1:6" ht="25.5">
      <c r="A585" s="73"/>
      <c r="B585" s="7" t="s">
        <v>635</v>
      </c>
      <c r="C585" s="277"/>
      <c r="D585" s="69"/>
      <c r="E585" s="40"/>
      <c r="F585" s="28"/>
    </row>
    <row r="586" spans="1:2" ht="12.75">
      <c r="A586" s="58"/>
      <c r="B586" s="57" t="s">
        <v>539</v>
      </c>
    </row>
    <row r="587" spans="1:2" ht="15" customHeight="1">
      <c r="A587" s="73" t="s">
        <v>76</v>
      </c>
      <c r="B587" s="67" t="s">
        <v>157</v>
      </c>
    </row>
    <row r="588" spans="1:6" ht="12.75">
      <c r="A588" s="54" t="s">
        <v>39</v>
      </c>
      <c r="B588" s="67" t="s">
        <v>773</v>
      </c>
      <c r="C588" s="277" t="s">
        <v>540</v>
      </c>
      <c r="D588" s="69">
        <v>2</v>
      </c>
      <c r="E588" s="40"/>
      <c r="F588" s="28"/>
    </row>
    <row r="589" spans="1:6" ht="12.75">
      <c r="A589" s="54" t="s">
        <v>40</v>
      </c>
      <c r="B589" s="67" t="s">
        <v>774</v>
      </c>
      <c r="C589" s="277" t="s">
        <v>540</v>
      </c>
      <c r="D589" s="69">
        <v>2</v>
      </c>
      <c r="E589" s="40"/>
      <c r="F589" s="28"/>
    </row>
    <row r="590" spans="1:6" ht="12.75">
      <c r="A590" s="73" t="s">
        <v>194</v>
      </c>
      <c r="B590" s="67" t="s">
        <v>564</v>
      </c>
      <c r="C590" s="277"/>
      <c r="D590" s="69"/>
      <c r="E590" s="40"/>
      <c r="F590" s="28"/>
    </row>
    <row r="591" spans="1:6" ht="12.75">
      <c r="A591" s="54" t="s">
        <v>41</v>
      </c>
      <c r="B591" s="67" t="s">
        <v>774</v>
      </c>
      <c r="C591" s="277" t="s">
        <v>540</v>
      </c>
      <c r="D591" s="69">
        <v>2</v>
      </c>
      <c r="E591" s="40"/>
      <c r="F591" s="28"/>
    </row>
    <row r="592" spans="1:6" ht="12.75">
      <c r="A592" s="54"/>
      <c r="B592" s="67"/>
      <c r="C592" s="277"/>
      <c r="D592" s="69"/>
      <c r="E592" s="40"/>
      <c r="F592" s="28"/>
    </row>
    <row r="593" spans="1:6" ht="78" customHeight="1">
      <c r="A593" s="58">
        <f>A584+1</f>
        <v>742</v>
      </c>
      <c r="B593" s="44" t="s">
        <v>638</v>
      </c>
      <c r="C593" s="277"/>
      <c r="D593" s="69"/>
      <c r="E593" s="40"/>
      <c r="F593" s="28"/>
    </row>
    <row r="594" spans="1:6" ht="76.5">
      <c r="A594" s="54"/>
      <c r="B594" s="44" t="s">
        <v>639</v>
      </c>
      <c r="C594" s="277"/>
      <c r="D594" s="69"/>
      <c r="E594" s="40"/>
      <c r="F594" s="28"/>
    </row>
    <row r="595" spans="1:2" ht="15" customHeight="1">
      <c r="A595" s="58"/>
      <c r="B595" s="57" t="s">
        <v>539</v>
      </c>
    </row>
    <row r="596" spans="1:2" ht="15" customHeight="1">
      <c r="A596" s="73" t="s">
        <v>19</v>
      </c>
      <c r="B596" s="67" t="s">
        <v>287</v>
      </c>
    </row>
    <row r="597" spans="1:6" ht="12.75">
      <c r="A597" s="54"/>
      <c r="B597" s="67" t="s">
        <v>775</v>
      </c>
      <c r="C597" s="277" t="s">
        <v>540</v>
      </c>
      <c r="D597" s="69">
        <v>1</v>
      </c>
      <c r="E597" s="40"/>
      <c r="F597" s="28"/>
    </row>
    <row r="598" spans="1:6" ht="12.75">
      <c r="A598" s="54"/>
      <c r="B598" s="67"/>
      <c r="C598" s="277"/>
      <c r="D598" s="69"/>
      <c r="E598" s="40"/>
      <c r="F598" s="28"/>
    </row>
    <row r="599" spans="1:6" ht="12.75">
      <c r="A599" s="54"/>
      <c r="B599" s="67" t="s">
        <v>640</v>
      </c>
      <c r="C599" s="277"/>
      <c r="D599" s="69"/>
      <c r="E599" s="40"/>
      <c r="F599" s="28"/>
    </row>
    <row r="600" spans="1:6" ht="102">
      <c r="A600" s="58">
        <f>A593+1</f>
        <v>743</v>
      </c>
      <c r="B600" s="44" t="s">
        <v>814</v>
      </c>
      <c r="C600" s="277"/>
      <c r="D600" s="69"/>
      <c r="E600" s="40"/>
      <c r="F600" s="28"/>
    </row>
    <row r="601" spans="1:6" ht="114.75">
      <c r="A601" s="54"/>
      <c r="B601" s="44" t="s">
        <v>1457</v>
      </c>
      <c r="C601" s="277"/>
      <c r="D601" s="69"/>
      <c r="E601" s="40"/>
      <c r="F601" s="28"/>
    </row>
    <row r="602" spans="1:6" ht="102">
      <c r="A602" s="54"/>
      <c r="B602" s="44" t="s">
        <v>1458</v>
      </c>
      <c r="C602" s="277"/>
      <c r="D602" s="69"/>
      <c r="E602" s="40"/>
      <c r="F602" s="28"/>
    </row>
    <row r="603" spans="1:6" ht="25.5">
      <c r="A603" s="73"/>
      <c r="B603" s="7" t="s">
        <v>635</v>
      </c>
      <c r="C603" s="277"/>
      <c r="D603" s="69"/>
      <c r="E603" s="40"/>
      <c r="F603" s="28"/>
    </row>
    <row r="604" spans="1:2" ht="12.75">
      <c r="A604" s="58"/>
      <c r="B604" s="44" t="s">
        <v>641</v>
      </c>
    </row>
    <row r="605" spans="1:2" ht="15" customHeight="1">
      <c r="A605" s="73" t="s">
        <v>194</v>
      </c>
      <c r="B605" s="67" t="s">
        <v>564</v>
      </c>
    </row>
    <row r="606" spans="1:6" ht="12.75">
      <c r="A606" s="54"/>
      <c r="B606" s="67" t="s">
        <v>776</v>
      </c>
      <c r="C606" s="277" t="s">
        <v>540</v>
      </c>
      <c r="D606" s="69">
        <v>2</v>
      </c>
      <c r="E606" s="40"/>
      <c r="F606" s="28"/>
    </row>
    <row r="607" spans="1:6" ht="12.75">
      <c r="A607" s="54"/>
      <c r="B607" s="67"/>
      <c r="C607" s="277"/>
      <c r="D607" s="69"/>
      <c r="E607" s="40"/>
      <c r="F607" s="28"/>
    </row>
    <row r="608" spans="1:6" ht="102">
      <c r="A608" s="58">
        <f>A600+1</f>
        <v>744</v>
      </c>
      <c r="B608" s="44" t="s">
        <v>1459</v>
      </c>
      <c r="C608" s="277"/>
      <c r="D608" s="69"/>
      <c r="E608" s="40"/>
      <c r="F608" s="28"/>
    </row>
    <row r="609" spans="1:6" ht="114.75">
      <c r="A609" s="54"/>
      <c r="B609" s="44" t="s">
        <v>1457</v>
      </c>
      <c r="C609" s="277"/>
      <c r="D609" s="69"/>
      <c r="E609" s="40"/>
      <c r="F609" s="28"/>
    </row>
    <row r="610" spans="1:6" ht="25.5">
      <c r="A610" s="73"/>
      <c r="B610" s="7" t="s">
        <v>635</v>
      </c>
      <c r="C610" s="277"/>
      <c r="D610" s="69"/>
      <c r="E610" s="40"/>
      <c r="F610" s="28"/>
    </row>
    <row r="611" spans="1:6" ht="12.75">
      <c r="A611" s="54"/>
      <c r="B611" s="44" t="s">
        <v>641</v>
      </c>
      <c r="C611" s="277"/>
      <c r="D611" s="69"/>
      <c r="E611" s="40"/>
      <c r="F611" s="28"/>
    </row>
    <row r="612" spans="1:6" ht="12.75">
      <c r="A612" s="73" t="s">
        <v>19</v>
      </c>
      <c r="B612" s="67" t="s">
        <v>287</v>
      </c>
      <c r="C612" s="277"/>
      <c r="D612" s="69"/>
      <c r="E612" s="40"/>
      <c r="F612" s="28"/>
    </row>
    <row r="613" spans="1:6" ht="12.75">
      <c r="A613" s="54"/>
      <c r="B613" s="67" t="s">
        <v>777</v>
      </c>
      <c r="C613" s="277" t="s">
        <v>540</v>
      </c>
      <c r="D613" s="69">
        <v>1</v>
      </c>
      <c r="E613" s="40"/>
      <c r="F613" s="28"/>
    </row>
    <row r="614" spans="1:6" ht="12.75">
      <c r="A614" s="54"/>
      <c r="B614" s="67"/>
      <c r="C614" s="277"/>
      <c r="D614" s="69"/>
      <c r="E614" s="40"/>
      <c r="F614" s="28"/>
    </row>
    <row r="615" spans="1:6" ht="12.75">
      <c r="A615" s="54"/>
      <c r="B615" s="67" t="s">
        <v>642</v>
      </c>
      <c r="C615" s="277"/>
      <c r="D615" s="69"/>
      <c r="E615" s="40"/>
      <c r="F615" s="28"/>
    </row>
    <row r="616" spans="1:6" ht="89.25">
      <c r="A616" s="58">
        <f>A608+1</f>
        <v>745</v>
      </c>
      <c r="B616" s="44" t="s">
        <v>643</v>
      </c>
      <c r="C616" s="277"/>
      <c r="D616" s="69"/>
      <c r="E616" s="40"/>
      <c r="F616" s="28"/>
    </row>
    <row r="617" spans="1:6" ht="89.25">
      <c r="A617" s="58"/>
      <c r="B617" s="44" t="s">
        <v>815</v>
      </c>
      <c r="C617" s="277"/>
      <c r="D617" s="69"/>
      <c r="E617" s="40"/>
      <c r="F617" s="28"/>
    </row>
    <row r="618" spans="1:6" ht="28.5" customHeight="1">
      <c r="A618" s="73"/>
      <c r="B618" s="7" t="s">
        <v>635</v>
      </c>
      <c r="C618" s="277"/>
      <c r="D618" s="69"/>
      <c r="E618" s="40"/>
      <c r="F618" s="28"/>
    </row>
    <row r="619" spans="1:6" ht="12.75">
      <c r="A619" s="54"/>
      <c r="B619" s="44" t="s">
        <v>641</v>
      </c>
      <c r="C619" s="277"/>
      <c r="D619" s="69"/>
      <c r="E619" s="40"/>
      <c r="F619" s="28"/>
    </row>
    <row r="620" spans="1:6" ht="12.75">
      <c r="A620" s="73" t="s">
        <v>19</v>
      </c>
      <c r="B620" s="67" t="s">
        <v>287</v>
      </c>
      <c r="C620" s="277"/>
      <c r="D620" s="69"/>
      <c r="E620" s="40"/>
      <c r="F620" s="28"/>
    </row>
    <row r="621" spans="1:6" ht="12.75">
      <c r="A621" s="54"/>
      <c r="B621" s="67" t="s">
        <v>778</v>
      </c>
      <c r="C621" s="277" t="s">
        <v>540</v>
      </c>
      <c r="D621" s="69">
        <v>1</v>
      </c>
      <c r="E621" s="40"/>
      <c r="F621" s="28"/>
    </row>
    <row r="622" spans="1:6" ht="12.75">
      <c r="A622" s="54"/>
      <c r="B622" s="67"/>
      <c r="C622" s="277"/>
      <c r="D622" s="69"/>
      <c r="E622" s="40"/>
      <c r="F622" s="28"/>
    </row>
    <row r="623" spans="1:6" ht="63.75">
      <c r="A623" s="58">
        <f>A616+1</f>
        <v>746</v>
      </c>
      <c r="B623" s="145" t="s">
        <v>644</v>
      </c>
      <c r="C623" s="277"/>
      <c r="D623" s="69"/>
      <c r="E623" s="40"/>
      <c r="F623" s="28"/>
    </row>
    <row r="624" spans="1:6" ht="75.75" customHeight="1">
      <c r="A624" s="54"/>
      <c r="B624" s="44" t="s">
        <v>645</v>
      </c>
      <c r="C624" s="277"/>
      <c r="D624" s="69"/>
      <c r="E624" s="40"/>
      <c r="F624" s="28"/>
    </row>
    <row r="625" spans="1:6" ht="25.5">
      <c r="A625" s="54"/>
      <c r="B625" s="44" t="s">
        <v>646</v>
      </c>
      <c r="C625" s="277"/>
      <c r="D625" s="69"/>
      <c r="E625" s="40"/>
      <c r="F625" s="28"/>
    </row>
    <row r="626" spans="1:6" ht="12.75">
      <c r="A626" s="73" t="s">
        <v>19</v>
      </c>
      <c r="B626" s="67" t="s">
        <v>287</v>
      </c>
      <c r="C626" s="277"/>
      <c r="D626" s="69"/>
      <c r="E626" s="40"/>
      <c r="F626" s="28"/>
    </row>
    <row r="627" spans="1:6" ht="12.75">
      <c r="A627" s="54"/>
      <c r="B627" s="67" t="s">
        <v>779</v>
      </c>
      <c r="C627" s="277" t="s">
        <v>540</v>
      </c>
      <c r="D627" s="69">
        <v>1</v>
      </c>
      <c r="E627" s="40"/>
      <c r="F627" s="28"/>
    </row>
    <row r="628" spans="1:6" ht="12.75">
      <c r="A628" s="54"/>
      <c r="B628" s="67"/>
      <c r="C628" s="277"/>
      <c r="D628" s="69"/>
      <c r="E628" s="40"/>
      <c r="F628" s="28"/>
    </row>
    <row r="629" spans="1:6" s="41" customFormat="1" ht="12.75">
      <c r="A629" s="55"/>
      <c r="B629" s="29"/>
      <c r="C629" s="65"/>
      <c r="D629" s="27"/>
      <c r="E629" s="30"/>
      <c r="F629" s="30"/>
    </row>
    <row r="630" spans="1:6" s="41" customFormat="1" ht="12.75">
      <c r="A630" s="46">
        <f>A4</f>
        <v>700</v>
      </c>
      <c r="B630" s="33" t="str">
        <f>B4</f>
        <v>BRAVARSKI RADOVI</v>
      </c>
      <c r="C630" s="66" t="s">
        <v>1485</v>
      </c>
      <c r="D630" s="13"/>
      <c r="E630" s="14"/>
      <c r="F630" s="15"/>
    </row>
  </sheetData>
  <sheetProtection formatRows="0" insertRows="0" deleteRows="0"/>
  <printOptions/>
  <pageMargins left="0.5511811023622047" right="0.2362204724409449" top="0.5905511811023623" bottom="0.5118110236220472" header="0.4724409448818898" footer="0.5511811023622047"/>
  <pageSetup horizontalDpi="600" verticalDpi="600" orientation="portrait" paperSize="9" scale="98" r:id="rId1"/>
  <rowBreaks count="6" manualBreakCount="6">
    <brk id="30" max="5" man="1"/>
    <brk id="99" max="5" man="1"/>
    <brk id="195" max="5" man="1"/>
    <brk id="215" max="5" man="1"/>
    <brk id="497" max="5" man="1"/>
    <brk id="51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Olja Jovanovic</cp:lastModifiedBy>
  <cp:lastPrinted>2015-01-13T08:34:41Z</cp:lastPrinted>
  <dcterms:created xsi:type="dcterms:W3CDTF">2008-10-24T02:38:44Z</dcterms:created>
  <dcterms:modified xsi:type="dcterms:W3CDTF">2015-02-23T09:05:54Z</dcterms:modified>
  <cp:category/>
  <cp:version/>
  <cp:contentType/>
  <cp:contentStatus/>
</cp:coreProperties>
</file>